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dova\Desktop\Práce\OP ST - Medard\"/>
    </mc:Choice>
  </mc:AlternateContent>
  <xr:revisionPtr revIDLastSave="0" documentId="13_ncr:1_{873EEEA1-3E4C-4FBB-96C6-DA58998B9B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lance " sheetId="2" r:id="rId1"/>
  </sheets>
  <definedNames>
    <definedName name="_1" localSheetId="0">'Bilance '!$A$1:$AA$71</definedName>
    <definedName name="_xlnm.Print_Area" localSheetId="0">'Bilance '!$A$1:$J$84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2" l="1"/>
  <c r="K34" i="2" s="1"/>
  <c r="J16" i="2"/>
  <c r="K16" i="2" s="1"/>
  <c r="J67" i="2" l="1"/>
  <c r="J68" i="2"/>
  <c r="J69" i="2"/>
  <c r="J70" i="2"/>
  <c r="J71" i="2"/>
  <c r="J72" i="2"/>
  <c r="K72" i="2" s="1"/>
  <c r="J73" i="2"/>
  <c r="K73" i="2" s="1"/>
  <c r="J66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51" i="2"/>
  <c r="J49" i="2"/>
  <c r="J48" i="2"/>
  <c r="J38" i="2"/>
  <c r="J39" i="2"/>
  <c r="J40" i="2"/>
  <c r="J41" i="2"/>
  <c r="J42" i="2"/>
  <c r="J43" i="2"/>
  <c r="J44" i="2"/>
  <c r="J45" i="2"/>
  <c r="J46" i="2"/>
  <c r="J37" i="2"/>
  <c r="J26" i="2"/>
  <c r="J27" i="2"/>
  <c r="J28" i="2"/>
  <c r="J29" i="2"/>
  <c r="J30" i="2"/>
  <c r="J31" i="2"/>
  <c r="J32" i="2"/>
  <c r="J33" i="2"/>
  <c r="J35" i="2"/>
  <c r="J25" i="2"/>
  <c r="J20" i="2"/>
  <c r="J21" i="2"/>
  <c r="J22" i="2"/>
  <c r="J19" i="2"/>
  <c r="K19" i="2" s="1"/>
  <c r="J8" i="2"/>
  <c r="J9" i="2"/>
  <c r="J10" i="2"/>
  <c r="K10" i="2" s="1"/>
  <c r="J11" i="2"/>
  <c r="J12" i="2"/>
  <c r="J13" i="2"/>
  <c r="J14" i="2"/>
  <c r="J15" i="2"/>
  <c r="K15" i="2" s="1"/>
  <c r="J17" i="2"/>
  <c r="J7" i="2"/>
  <c r="K17" i="2"/>
  <c r="M17" i="2" s="1"/>
  <c r="M72" i="2" l="1"/>
  <c r="N72" i="2"/>
  <c r="M73" i="2"/>
  <c r="N73" i="2" s="1"/>
  <c r="K71" i="2"/>
  <c r="K70" i="2"/>
  <c r="K69" i="2"/>
  <c r="K68" i="2"/>
  <c r="K67" i="2"/>
  <c r="K66" i="2"/>
  <c r="K64" i="2"/>
  <c r="K63" i="2"/>
  <c r="K62" i="2"/>
  <c r="K61" i="2"/>
  <c r="K60" i="2"/>
  <c r="K59" i="2"/>
  <c r="M59" i="2" s="1"/>
  <c r="K58" i="2"/>
  <c r="M58" i="2" s="1"/>
  <c r="K57" i="2"/>
  <c r="M57" i="2" s="1"/>
  <c r="K55" i="2"/>
  <c r="K54" i="2"/>
  <c r="K53" i="2"/>
  <c r="K52" i="2"/>
  <c r="K51" i="2"/>
  <c r="K49" i="2"/>
  <c r="K48" i="2"/>
  <c r="K46" i="2"/>
  <c r="M46" i="2" s="1"/>
  <c r="K33" i="2"/>
  <c r="K28" i="2"/>
  <c r="K22" i="2"/>
  <c r="K20" i="2"/>
  <c r="K13" i="2"/>
  <c r="M61" i="2" l="1"/>
  <c r="N61" i="2"/>
  <c r="M70" i="2"/>
  <c r="N70" i="2" s="1"/>
  <c r="M53" i="2"/>
  <c r="N53" i="2"/>
  <c r="N62" i="2"/>
  <c r="M62" i="2"/>
  <c r="M67" i="2"/>
  <c r="N67" i="2" s="1"/>
  <c r="M71" i="2"/>
  <c r="N71" i="2" s="1"/>
  <c r="M49" i="2"/>
  <c r="N49" i="2" s="1"/>
  <c r="N54" i="2"/>
  <c r="M54" i="2"/>
  <c r="O54" i="2" s="1"/>
  <c r="M63" i="2"/>
  <c r="N63" i="2"/>
  <c r="M68" i="2"/>
  <c r="N68" i="2"/>
  <c r="M52" i="2"/>
  <c r="N52" i="2"/>
  <c r="M66" i="2"/>
  <c r="N66" i="2" s="1"/>
  <c r="M48" i="2"/>
  <c r="N48" i="2"/>
  <c r="M51" i="2"/>
  <c r="N51" i="2"/>
  <c r="M55" i="2"/>
  <c r="N55" i="2"/>
  <c r="N60" i="2"/>
  <c r="M60" i="2"/>
  <c r="N64" i="2"/>
  <c r="M64" i="2"/>
  <c r="M69" i="2"/>
  <c r="N69" i="2"/>
  <c r="K65" i="2"/>
  <c r="K47" i="2"/>
  <c r="K50" i="2"/>
  <c r="I74" i="2"/>
  <c r="D45" i="2"/>
  <c r="K45" i="2" s="1"/>
  <c r="N45" i="2" s="1"/>
  <c r="D41" i="2"/>
  <c r="K41" i="2" s="1"/>
  <c r="D44" i="2"/>
  <c r="K44" i="2" s="1"/>
  <c r="D42" i="2"/>
  <c r="K42" i="2" s="1"/>
  <c r="D43" i="2"/>
  <c r="K43" i="2" s="1"/>
  <c r="D40" i="2"/>
  <c r="K40" i="2" s="1"/>
  <c r="D39" i="2"/>
  <c r="K39" i="2" s="1"/>
  <c r="D38" i="2"/>
  <c r="K38" i="2" s="1"/>
  <c r="O38" i="2" s="1"/>
  <c r="D37" i="2"/>
  <c r="K37" i="2" s="1"/>
  <c r="S44" i="2"/>
  <c r="S43" i="2"/>
  <c r="B35" i="2"/>
  <c r="K35" i="2" s="1"/>
  <c r="N35" i="2" s="1"/>
  <c r="B32" i="2"/>
  <c r="K32" i="2" s="1"/>
  <c r="B31" i="2"/>
  <c r="K31" i="2" s="1"/>
  <c r="B30" i="2"/>
  <c r="K30" i="2" s="1"/>
  <c r="B25" i="2"/>
  <c r="K25" i="2" s="1"/>
  <c r="B27" i="2"/>
  <c r="K27" i="2" s="1"/>
  <c r="B26" i="2"/>
  <c r="K26" i="2" s="1"/>
  <c r="B21" i="2"/>
  <c r="K21" i="2" s="1"/>
  <c r="K18" i="2" s="1"/>
  <c r="M18" i="2" s="1"/>
  <c r="B14" i="2"/>
  <c r="K14" i="2" s="1"/>
  <c r="B12" i="2"/>
  <c r="K12" i="2" s="1"/>
  <c r="B8" i="2"/>
  <c r="K8" i="2" s="1"/>
  <c r="B9" i="2"/>
  <c r="K9" i="2" s="1"/>
  <c r="B7" i="2"/>
  <c r="K7" i="2" s="1"/>
  <c r="O55" i="2" l="1"/>
  <c r="O48" i="2"/>
  <c r="O64" i="2"/>
  <c r="O52" i="2"/>
  <c r="O62" i="2"/>
  <c r="N40" i="2"/>
  <c r="M40" i="2"/>
  <c r="M37" i="2"/>
  <c r="N37" i="2"/>
  <c r="O51" i="2"/>
  <c r="O63" i="2"/>
  <c r="O53" i="2"/>
  <c r="N42" i="2"/>
  <c r="M42" i="2"/>
  <c r="O42" i="2" s="1"/>
  <c r="M41" i="2"/>
  <c r="N41" i="2"/>
  <c r="M43" i="2"/>
  <c r="N43" i="2"/>
  <c r="O61" i="2"/>
  <c r="N39" i="2"/>
  <c r="O39" i="2" s="1"/>
  <c r="N44" i="2"/>
  <c r="M44" i="2"/>
  <c r="O44" i="2" s="1"/>
  <c r="O60" i="2"/>
  <c r="K6" i="2"/>
  <c r="K29" i="2"/>
  <c r="P29" i="2" s="1"/>
  <c r="K24" i="2"/>
  <c r="K11" i="2"/>
  <c r="P11" i="2" s="1"/>
  <c r="K36" i="2"/>
  <c r="Q12" i="2"/>
  <c r="Q14" i="2"/>
  <c r="N24" i="2" l="1"/>
  <c r="K23" i="2"/>
  <c r="K5" i="2"/>
  <c r="O40" i="2"/>
  <c r="O43" i="2"/>
  <c r="P74" i="2"/>
  <c r="N74" i="2"/>
  <c r="N76" i="2" s="1"/>
  <c r="O41" i="2"/>
  <c r="O74" i="2" s="1"/>
  <c r="M6" i="2"/>
  <c r="M74" i="2" s="1"/>
  <c r="M76" i="2" s="1"/>
  <c r="O76" i="2" l="1"/>
  <c r="K74" i="2"/>
  <c r="K76" i="2" l="1"/>
  <c r="O77" i="2" s="1"/>
  <c r="O78" i="2" s="1"/>
  <c r="K75" i="2"/>
  <c r="K78" i="2" s="1"/>
  <c r="N77" i="2" l="1"/>
  <c r="N78" i="2" s="1"/>
  <c r="M77" i="2"/>
  <c r="M78" i="2" s="1"/>
</calcChain>
</file>

<file path=xl/sharedStrings.xml><?xml version="1.0" encoding="utf-8"?>
<sst xmlns="http://schemas.openxmlformats.org/spreadsheetml/2006/main" count="404" uniqueCount="133">
  <si>
    <t>BILANCE PLOCH A MOBILIÁŘ MEDARD</t>
  </si>
  <si>
    <t>POLOŽKA / ITEM</t>
  </si>
  <si>
    <r>
      <t>PLOCHA</t>
    </r>
    <r>
      <rPr>
        <sz val="10"/>
        <color theme="1"/>
        <rFont val="Barlow Medium"/>
        <charset val="238"/>
      </rPr>
      <t xml:space="preserve"> </t>
    </r>
    <r>
      <rPr>
        <sz val="9"/>
        <color theme="1"/>
        <rFont val="Barlow Medium"/>
        <charset val="238"/>
      </rPr>
      <t>/ AREA</t>
    </r>
  </si>
  <si>
    <t>VÝŠKA</t>
  </si>
  <si>
    <t>DÉLKA CEST</t>
  </si>
  <si>
    <t>ŠÍŘKA PROFILU</t>
  </si>
  <si>
    <t>Počet</t>
  </si>
  <si>
    <t>Materiál</t>
  </si>
  <si>
    <r>
      <t>JEDNOTKOVÁ CENA</t>
    </r>
    <r>
      <rPr>
        <sz val="9"/>
        <color theme="1"/>
        <rFont val="Barlow Medium"/>
        <charset val="238"/>
      </rPr>
      <t xml:space="preserve"> / COST per UNIT</t>
    </r>
  </si>
  <si>
    <r>
      <t xml:space="preserve">CENA CELKEM </t>
    </r>
    <r>
      <rPr>
        <sz val="9"/>
        <color theme="1"/>
        <rFont val="Barlow Medium"/>
        <charset val="238"/>
      </rPr>
      <t>/ TOTAL COST</t>
    </r>
  </si>
  <si>
    <t>Cena za jednot.</t>
  </si>
  <si>
    <t>Celkem</t>
  </si>
  <si>
    <t>POZNÁMKY</t>
  </si>
  <si>
    <r>
      <t>[ m</t>
    </r>
    <r>
      <rPr>
        <vertAlign val="superscript"/>
        <sz val="11"/>
        <color theme="1"/>
        <rFont val="Barlow"/>
        <charset val="238"/>
      </rPr>
      <t>2</t>
    </r>
    <r>
      <rPr>
        <sz val="11"/>
        <color theme="1"/>
        <rFont val="Barlow"/>
        <charset val="238"/>
      </rPr>
      <t>]</t>
    </r>
  </si>
  <si>
    <t>[m]</t>
  </si>
  <si>
    <t>[ks]</t>
  </si>
  <si>
    <t>[ CZK / m]</t>
  </si>
  <si>
    <t>[CZK]</t>
  </si>
  <si>
    <t>Kč</t>
  </si>
  <si>
    <t>SO 01. - Partkoviště P1</t>
  </si>
  <si>
    <t>Fáze I.</t>
  </si>
  <si>
    <t>Zpevněná plocha</t>
  </si>
  <si>
    <t>-</t>
  </si>
  <si>
    <t>kamenná dlažba</t>
  </si>
  <si>
    <t>Do betonu, vč podsypů, zlepšení 3%, tl.0,5 m</t>
  </si>
  <si>
    <t>Nezpevněná plocha</t>
  </si>
  <si>
    <t>štěrkový trávník/zatravňovací dlažba</t>
  </si>
  <si>
    <t>Štěrkový trávník ???, dlaž.-beton/plast ?</t>
  </si>
  <si>
    <t>Travnatá plocha</t>
  </si>
  <si>
    <t xml:space="preserve">extenzivní luční porost </t>
  </si>
  <si>
    <t>Extenzivní ???, srovnání, zhut., ornice……</t>
  </si>
  <si>
    <t>Stromy cca [ks]</t>
  </si>
  <si>
    <t xml:space="preserve">Bříza bělokorá, Jeřáb ptačí, Třešeň ptačí. výpěstky s balem s nasazením koruny ve výšce min. 2,5 m, obvod kmene 12/14-14/16, dle zvolených druhů. </t>
  </si>
  <si>
    <t>Bříza bělokorá - SPIDER ALLEY - v. 175-200 cm, OK 6/8</t>
  </si>
  <si>
    <t>Fáze II.</t>
  </si>
  <si>
    <t>Bříza bělokorá, Jeřáb ptačí, Třešeň ptačí. Výpěstky s obvodem kmene 10/12 (případně 8/10), dle druhu. Výška nasazení koruny (min. 2,5 m).</t>
  </si>
  <si>
    <t>Nepropustná vrstva ve skladbě parkoviště</t>
  </si>
  <si>
    <t>SO 02. - Objekt na parkovišti P1</t>
  </si>
  <si>
    <t>Dřevěná kce. uložená na betonové základové desce, zateplený obvodový plášt dřevo. Vnitřní dělící kce SDK systém.</t>
  </si>
  <si>
    <t>cca 10.000,- Kč/m3 (245 m3)</t>
  </si>
  <si>
    <t>SO 03. - Správně-administrativní centrum s muzeem klimatických změn (2NP)</t>
  </si>
  <si>
    <t>Vlastní objekt (2NP)</t>
  </si>
  <si>
    <t>Betonová /zděná konstrukce uložená na betonové základové desce, obvodový plášt kombinace keramické tvárnice, dřevo a sklo. Vnitřní kce. z SDK.</t>
  </si>
  <si>
    <t>cca 7,500,- Kč/m3 (1.400 m3)</t>
  </si>
  <si>
    <t>Manipulační a technická plocha</t>
  </si>
  <si>
    <t>asfalt</t>
  </si>
  <si>
    <t>vč.srov., zhut., zlepš.3%, geotex., postři., živi.19</t>
  </si>
  <si>
    <t>Zatravněná plocha</t>
  </si>
  <si>
    <t>SO 04. - Parkoviště P2</t>
  </si>
  <si>
    <t xml:space="preserve">Bříza bělokorá, Jeřáb ptačí, Třešeň ptačí, Jasan ztepilý, Javor babyka. Výpěstky s balem s nasazením koruny ve výšce min. 2,5 m, obvod kmene 12/14-14/16, dle zvolených druhů. </t>
  </si>
  <si>
    <t>Do betonu, vč podsypů, zlepšení 3%</t>
  </si>
  <si>
    <t>SO 05. - Návštěvnické  centrum</t>
  </si>
  <si>
    <t>cca 10.000,- Kč/m3 (660 m3)</t>
  </si>
  <si>
    <t>SO 06. - Stezka</t>
  </si>
  <si>
    <t>Stezka profil 6,5m - využívající stávající hospodárnice</t>
  </si>
  <si>
    <t>4m asfalt a 2,5m mlatová cesta</t>
  </si>
  <si>
    <t>vč.opatření proti obojživelníkům (plech+ocel)</t>
  </si>
  <si>
    <t>Stezka profil 6,5m - nově založená</t>
  </si>
  <si>
    <t>Stezka profil 4m - využívající stávající hospodárnice</t>
  </si>
  <si>
    <t>Stezka profil 4m - nově založená</t>
  </si>
  <si>
    <t>Pěší stezka -  využívající stávající hospodárnice</t>
  </si>
  <si>
    <t>mlatová cesta</t>
  </si>
  <si>
    <t>Pěší stezka -  nově založená</t>
  </si>
  <si>
    <t xml:space="preserve">Pěší stezka zážitková -  nově založená </t>
  </si>
  <si>
    <t>zhutněná zemina, kamenné, dřevěnné či cortenové zpevněné stupně, dřevěné pěšinky</t>
  </si>
  <si>
    <t>Zpevněná stezka - využ hospodárnice</t>
  </si>
  <si>
    <t>Dřevěná mola a mostky</t>
  </si>
  <si>
    <t>3-4</t>
  </si>
  <si>
    <t>dřevěná mola a lávky</t>
  </si>
  <si>
    <t>Zpevněná stezka - nově založená</t>
  </si>
  <si>
    <t>Přístupové komunikace do území lokalita Habartov</t>
  </si>
  <si>
    <t>Přístupové komunikace do území lokalita Svatava</t>
  </si>
  <si>
    <t xml:space="preserve"> 6m asfalt, 2,5 cyklo, 2m mlatová cesta</t>
  </si>
  <si>
    <t>SO 07. - Osvětlení stezky</t>
  </si>
  <si>
    <t>Solární osvětlení podél hlavního okruhu</t>
  </si>
  <si>
    <t>solární veřejné osvětlení, ve vzdálenosti cca 20m.</t>
  </si>
  <si>
    <t>Jen solární - bez kabelu</t>
  </si>
  <si>
    <t>Osvětlení na parkovištích (P1 a P2)</t>
  </si>
  <si>
    <t>veřejné osvětlení připojené ke zdroji elektřiny</t>
  </si>
  <si>
    <t>Napětí 230 V. Délka přívodu energie ?????</t>
  </si>
  <si>
    <t>Molbiliář</t>
  </si>
  <si>
    <t>Odpočinkový mobiliář - lavičky</t>
  </si>
  <si>
    <t>dřevo, ocel, corten</t>
  </si>
  <si>
    <t>CORTEN - typ FLANCO A4 - 180x 50x46 cm</t>
  </si>
  <si>
    <t>Odpočinkový mobiliář - stoly s lavicemi</t>
  </si>
  <si>
    <t>CORTEN - typ MOPNC.2300.Ct</t>
  </si>
  <si>
    <t>Info panely</t>
  </si>
  <si>
    <t>1x1,5 m</t>
  </si>
  <si>
    <t>Interaktivní / vzdělávací panel</t>
  </si>
  <si>
    <t>Elektronický</t>
  </si>
  <si>
    <t>Vyhlídky / pozorovatelny</t>
  </si>
  <si>
    <t>dřevo, kámen, ocel, sklo</t>
  </si>
  <si>
    <t>Půdorys cca 4x4 m, výška 3 m</t>
  </si>
  <si>
    <t>Zábavní prvky</t>
  </si>
  <si>
    <t>dodavatel - obchod Hřiště Piccolino, Praha</t>
  </si>
  <si>
    <t>velké houpačky s výhledem</t>
  </si>
  <si>
    <t>dřevo/lano</t>
  </si>
  <si>
    <t>?????</t>
  </si>
  <si>
    <t>přírodní dětské hřiště</t>
  </si>
  <si>
    <t>přírodní materiály - dřevo/kámen</t>
  </si>
  <si>
    <t>????? - pískoviště, prolézačka, domeček, síť …...</t>
  </si>
  <si>
    <t>Skluzavka ve svahu</t>
  </si>
  <si>
    <t>nerezová ocel</t>
  </si>
  <si>
    <t>dl. 3 - 4 m</t>
  </si>
  <si>
    <t xml:space="preserve">Odpočinkové dřevěné vyhlídky </t>
  </si>
  <si>
    <t>dřevo</t>
  </si>
  <si>
    <t>cca 3 x 6 m, včetně stolu a lavic</t>
  </si>
  <si>
    <t>Dřevěná mola</t>
  </si>
  <si>
    <t>dl.cca do 10m od břehu - plocha cca 25 m2</t>
  </si>
  <si>
    <t>Ohniště</t>
  </si>
  <si>
    <t>vnější průměr cca do 150 cm - kámen</t>
  </si>
  <si>
    <t>Grillovací spoty</t>
  </si>
  <si>
    <t>ocel/kámen</t>
  </si>
  <si>
    <t>Odpadní mobiliář - odpadkové koše</t>
  </si>
  <si>
    <t>vel.cca 50x50x80 cm</t>
  </si>
  <si>
    <t>Technická infrastruktura</t>
  </si>
  <si>
    <t>Kamerový systém</t>
  </si>
  <si>
    <t>CCTV - Kamerový systém</t>
  </si>
  <si>
    <t>á 50 m, cč.kab.vedení a ZP - cca 800 m</t>
  </si>
  <si>
    <t>Objekt DTS</t>
  </si>
  <si>
    <t>beton, včetně technologie 22/0,4 kV - ?????</t>
  </si>
  <si>
    <t>Připojka elektro</t>
  </si>
  <si>
    <t xml:space="preserve">22 kV, vč.trafostanice </t>
  </si>
  <si>
    <t>Přípojka vody</t>
  </si>
  <si>
    <t>Výtlak splaškové kanalizace</t>
  </si>
  <si>
    <t>včetně přečerpávacích stanic</t>
  </si>
  <si>
    <t>Uklidňovací stoka</t>
  </si>
  <si>
    <t>????? - šířka 3,5 - 4 m</t>
  </si>
  <si>
    <t>Parkovací systém</t>
  </si>
  <si>
    <t>závora, automat</t>
  </si>
  <si>
    <t>WC vstupní systém</t>
  </si>
  <si>
    <t>turniket, automat na placení</t>
  </si>
  <si>
    <t xml:space="preserve">*Počty mobiliáře jsou orientační. Přesný počet bude upřesněn v další podrobnější fázi. Při řešení jednotlivých edukativních zastávek.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</si>
</sst>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Barlow"/>
      <charset val="238"/>
    </font>
    <font>
      <b/>
      <sz val="11"/>
      <color theme="1"/>
      <name val="Barlow"/>
      <charset val="238"/>
    </font>
    <font>
      <sz val="11"/>
      <color rgb="FFFF0000"/>
      <name val="Barlow"/>
      <charset val="238"/>
    </font>
    <font>
      <sz val="10"/>
      <color theme="1"/>
      <name val="Barlow"/>
      <charset val="238"/>
    </font>
    <font>
      <vertAlign val="superscript"/>
      <sz val="11"/>
      <color theme="1"/>
      <name val="Barlow"/>
      <charset val="238"/>
    </font>
    <font>
      <sz val="8"/>
      <name val="Calibri"/>
      <family val="2"/>
      <charset val="238"/>
      <scheme val="minor"/>
    </font>
    <font>
      <sz val="11"/>
      <name val="Barlow"/>
      <charset val="238"/>
    </font>
    <font>
      <b/>
      <sz val="16"/>
      <color theme="1"/>
      <name val="Barlow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Barlow Medium"/>
      <charset val="238"/>
    </font>
    <font>
      <sz val="10"/>
      <color theme="1"/>
      <name val="Barlow Medium"/>
      <charset val="238"/>
    </font>
    <font>
      <sz val="9"/>
      <color theme="1"/>
      <name val="Barlow Medium"/>
      <charset val="238"/>
    </font>
    <font>
      <sz val="9"/>
      <name val="Barlow"/>
      <charset val="238"/>
    </font>
    <font>
      <b/>
      <sz val="12"/>
      <color theme="1"/>
      <name val="Barlow"/>
      <charset val="238"/>
    </font>
    <font>
      <b/>
      <sz val="11"/>
      <color rgb="FFFF0000"/>
      <name val="Barlow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0" borderId="11" xfId="0" applyFont="1" applyBorder="1" applyAlignment="1">
      <alignment horizontal="left" indent="3"/>
    </xf>
    <xf numFmtId="0" fontId="9" fillId="0" borderId="0" xfId="0" applyFont="1"/>
    <xf numFmtId="3" fontId="1" fillId="0" borderId="10" xfId="0" applyNumberFormat="1" applyFont="1" applyBorder="1"/>
    <xf numFmtId="3" fontId="1" fillId="0" borderId="13" xfId="0" applyNumberFormat="1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1" fillId="0" borderId="9" xfId="0" applyFont="1" applyBorder="1" applyAlignment="1">
      <alignment horizontal="left" vertical="top" indent="1"/>
    </xf>
    <xf numFmtId="0" fontId="3" fillId="0" borderId="1" xfId="0" applyFont="1" applyBorder="1"/>
    <xf numFmtId="0" fontId="1" fillId="0" borderId="9" xfId="0" applyFont="1" applyBorder="1" applyAlignment="1">
      <alignment horizontal="left" vertical="center" indent="2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1" fillId="0" borderId="0" xfId="0" applyNumberFormat="1" applyFont="1"/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20" xfId="0" applyFont="1" applyBorder="1"/>
    <xf numFmtId="0" fontId="1" fillId="0" borderId="21" xfId="0" applyFont="1" applyBorder="1"/>
    <xf numFmtId="0" fontId="10" fillId="2" borderId="9" xfId="0" applyFont="1" applyFill="1" applyBorder="1" applyAlignment="1">
      <alignment vertical="top"/>
    </xf>
    <xf numFmtId="0" fontId="10" fillId="2" borderId="9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vertical="center"/>
    </xf>
    <xf numFmtId="0" fontId="7" fillId="0" borderId="16" xfId="0" applyFont="1" applyBorder="1" applyAlignment="1">
      <alignment horizontal="center"/>
    </xf>
    <xf numFmtId="0" fontId="1" fillId="0" borderId="9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left" indent="1"/>
    </xf>
    <xf numFmtId="0" fontId="1" fillId="0" borderId="5" xfId="0" applyFont="1" applyBorder="1" applyAlignment="1">
      <alignment horizontal="left" indent="1"/>
    </xf>
    <xf numFmtId="0" fontId="13" fillId="0" borderId="0" xfId="0" applyFont="1"/>
    <xf numFmtId="0" fontId="1" fillId="3" borderId="22" xfId="0" applyFont="1" applyFill="1" applyBorder="1" applyAlignment="1">
      <alignment horizontal="center"/>
    </xf>
    <xf numFmtId="3" fontId="1" fillId="0" borderId="23" xfId="0" applyNumberFormat="1" applyFont="1" applyBorder="1"/>
    <xf numFmtId="164" fontId="2" fillId="0" borderId="24" xfId="0" applyNumberFormat="1" applyFont="1" applyBorder="1"/>
    <xf numFmtId="0" fontId="2" fillId="0" borderId="16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0" fontId="2" fillId="4" borderId="25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4" fontId="1" fillId="5" borderId="28" xfId="0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/>
    <xf numFmtId="3" fontId="1" fillId="2" borderId="23" xfId="0" applyNumberFormat="1" applyFont="1" applyFill="1" applyBorder="1"/>
    <xf numFmtId="0" fontId="2" fillId="2" borderId="2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1" fillId="2" borderId="3" xfId="0" applyNumberFormat="1" applyFont="1" applyFill="1" applyBorder="1"/>
    <xf numFmtId="0" fontId="7" fillId="2" borderId="1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" fontId="2" fillId="5" borderId="28" xfId="0" applyNumberFormat="1" applyFont="1" applyFill="1" applyBorder="1" applyAlignment="1">
      <alignment horizontal="center" vertical="center"/>
    </xf>
    <xf numFmtId="4" fontId="15" fillId="2" borderId="23" xfId="0" applyNumberFormat="1" applyFont="1" applyFill="1" applyBorder="1" applyAlignment="1">
      <alignment horizontal="center" vertical="center"/>
    </xf>
    <xf numFmtId="4" fontId="15" fillId="2" borderId="28" xfId="0" applyNumberFormat="1" applyFont="1" applyFill="1" applyBorder="1" applyAlignment="1">
      <alignment horizontal="center" vertical="center"/>
    </xf>
    <xf numFmtId="4" fontId="2" fillId="6" borderId="29" xfId="0" applyNumberFormat="1" applyFont="1" applyFill="1" applyBorder="1" applyAlignment="1">
      <alignment horizontal="center" vertical="center"/>
    </xf>
    <xf numFmtId="4" fontId="7" fillId="5" borderId="28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3" fontId="1" fillId="0" borderId="30" xfId="0" applyNumberFormat="1" applyFont="1" applyBorder="1"/>
    <xf numFmtId="4" fontId="1" fillId="5" borderId="31" xfId="0" applyNumberFormat="1" applyFont="1" applyFill="1" applyBorder="1" applyAlignment="1">
      <alignment horizontal="center" vertical="center"/>
    </xf>
    <xf numFmtId="3" fontId="1" fillId="0" borderId="32" xfId="0" applyNumberFormat="1" applyFont="1" applyBorder="1"/>
    <xf numFmtId="4" fontId="1" fillId="5" borderId="33" xfId="0" applyNumberFormat="1" applyFont="1" applyFill="1" applyBorder="1" applyAlignment="1">
      <alignment horizontal="center" vertical="center"/>
    </xf>
    <xf numFmtId="9" fontId="0" fillId="0" borderId="0" xfId="0" applyNumberFormat="1"/>
    <xf numFmtId="4" fontId="0" fillId="0" borderId="0" xfId="0" applyNumberFormat="1"/>
    <xf numFmtId="0" fontId="14" fillId="4" borderId="34" xfId="0" applyFont="1" applyFill="1" applyBorder="1" applyAlignment="1">
      <alignment horizontal="center"/>
    </xf>
    <xf numFmtId="0" fontId="2" fillId="4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0" borderId="37" xfId="0" applyFont="1" applyBorder="1" applyAlignment="1">
      <alignment horizontal="center"/>
    </xf>
    <xf numFmtId="4" fontId="1" fillId="0" borderId="37" xfId="0" applyNumberFormat="1" applyFont="1" applyBorder="1"/>
    <xf numFmtId="4" fontId="1" fillId="0" borderId="37" xfId="0" applyNumberFormat="1" applyFont="1" applyBorder="1" applyAlignment="1">
      <alignment vertical="center" wrapText="1"/>
    </xf>
    <xf numFmtId="4" fontId="1" fillId="2" borderId="37" xfId="0" applyNumberFormat="1" applyFont="1" applyFill="1" applyBorder="1" applyAlignment="1">
      <alignment vertical="center"/>
    </xf>
    <xf numFmtId="4" fontId="1" fillId="0" borderId="37" xfId="0" applyNumberFormat="1" applyFont="1" applyBorder="1" applyAlignment="1">
      <alignment vertical="center"/>
    </xf>
    <xf numFmtId="4" fontId="1" fillId="2" borderId="37" xfId="0" applyNumberFormat="1" applyFont="1" applyFill="1" applyBorder="1"/>
    <xf numFmtId="4" fontId="1" fillId="0" borderId="38" xfId="0" applyNumberFormat="1" applyFont="1" applyBorder="1"/>
    <xf numFmtId="4" fontId="2" fillId="0" borderId="35" xfId="0" applyNumberFormat="1" applyFont="1" applyBorder="1"/>
    <xf numFmtId="0" fontId="1" fillId="0" borderId="40" xfId="0" applyFont="1" applyBorder="1"/>
    <xf numFmtId="0" fontId="14" fillId="4" borderId="40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0" borderId="40" xfId="0" applyFont="1" applyBorder="1" applyAlignment="1">
      <alignment horizontal="center"/>
    </xf>
    <xf numFmtId="4" fontId="1" fillId="0" borderId="40" xfId="0" applyNumberFormat="1" applyFont="1" applyBorder="1"/>
    <xf numFmtId="4" fontId="1" fillId="0" borderId="40" xfId="0" applyNumberFormat="1" applyFont="1" applyBorder="1" applyAlignment="1">
      <alignment vertical="center" wrapText="1"/>
    </xf>
    <xf numFmtId="4" fontId="1" fillId="2" borderId="40" xfId="0" applyNumberFormat="1" applyFont="1" applyFill="1" applyBorder="1" applyAlignment="1">
      <alignment vertical="center"/>
    </xf>
    <xf numFmtId="4" fontId="1" fillId="0" borderId="40" xfId="0" applyNumberFormat="1" applyFont="1" applyBorder="1" applyAlignment="1">
      <alignment vertical="center"/>
    </xf>
    <xf numFmtId="4" fontId="1" fillId="2" borderId="40" xfId="0" applyNumberFormat="1" applyFont="1" applyFill="1" applyBorder="1"/>
    <xf numFmtId="4" fontId="2" fillId="2" borderId="40" xfId="0" applyNumberFormat="1" applyFont="1" applyFill="1" applyBorder="1" applyAlignment="1">
      <alignment horizontal="center"/>
    </xf>
    <xf numFmtId="4" fontId="2" fillId="0" borderId="40" xfId="0" applyNumberFormat="1" applyFont="1" applyBorder="1" applyAlignment="1">
      <alignment horizontal="center"/>
    </xf>
    <xf numFmtId="165" fontId="0" fillId="0" borderId="0" xfId="0" applyNumberFormat="1"/>
    <xf numFmtId="4" fontId="0" fillId="7" borderId="0" xfId="0" applyNumberFormat="1" applyFill="1"/>
    <xf numFmtId="0" fontId="1" fillId="7" borderId="39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4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vertical="center" wrapText="1"/>
    </xf>
    <xf numFmtId="4" fontId="1" fillId="2" borderId="0" xfId="0" applyNumberFormat="1" applyFont="1" applyFill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2" borderId="0" xfId="0" applyNumberFormat="1" applyFont="1" applyFill="1"/>
    <xf numFmtId="0" fontId="10" fillId="3" borderId="4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6E9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0"/>
  <sheetViews>
    <sheetView tabSelected="1" topLeftCell="B56" zoomScaleNormal="100" zoomScaleSheetLayoutView="100" workbookViewId="0">
      <selection activeCell="K74" sqref="K74"/>
    </sheetView>
  </sheetViews>
  <sheetFormatPr defaultRowHeight="14.45"/>
  <cols>
    <col min="1" max="1" width="96.7109375" bestFit="1" customWidth="1"/>
    <col min="2" max="2" width="13.7109375" customWidth="1"/>
    <col min="3" max="3" width="7.140625" customWidth="1"/>
    <col min="4" max="4" width="12.28515625" customWidth="1"/>
    <col min="5" max="5" width="14.7109375" customWidth="1"/>
    <col min="6" max="6" width="6.28515625" customWidth="1"/>
    <col min="7" max="7" width="64.85546875" hidden="1" customWidth="1"/>
    <col min="8" max="8" width="32.7109375" hidden="1" customWidth="1"/>
    <col min="9" max="9" width="9.28515625" hidden="1" customWidth="1"/>
    <col min="10" max="10" width="14.28515625" customWidth="1"/>
    <col min="11" max="11" width="16.7109375" customWidth="1"/>
    <col min="12" max="12" width="44.7109375" hidden="1" customWidth="1"/>
    <col min="13" max="14" width="14.7109375" customWidth="1"/>
    <col min="15" max="15" width="13.7109375" bestFit="1" customWidth="1"/>
    <col min="16" max="16" width="12" bestFit="1" customWidth="1"/>
    <col min="17" max="17" width="5.140625" bestFit="1" customWidth="1"/>
    <col min="18" max="18" width="36" bestFit="1" customWidth="1"/>
    <col min="19" max="19" width="5.28515625" bestFit="1" customWidth="1"/>
    <col min="20" max="20" width="2.140625" bestFit="1" customWidth="1"/>
    <col min="21" max="21" width="8.85546875" hidden="1" customWidth="1"/>
    <col min="22" max="22" width="10" bestFit="1" customWidth="1"/>
  </cols>
  <sheetData>
    <row r="1" spans="1:22" ht="21.6" thickTop="1">
      <c r="A1" s="1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22">
        <v>2024</v>
      </c>
      <c r="N1" s="122">
        <v>2025</v>
      </c>
      <c r="O1" s="122">
        <v>2026</v>
      </c>
      <c r="P1" s="123">
        <v>2027</v>
      </c>
      <c r="Q1" s="1"/>
      <c r="R1" s="1"/>
      <c r="S1" s="1"/>
    </row>
    <row r="2" spans="1:22" ht="16.899999999999999" thickBot="1">
      <c r="A2" s="2"/>
      <c r="B2" s="1"/>
      <c r="C2" s="7"/>
      <c r="D2" s="5"/>
      <c r="E2" s="5"/>
      <c r="F2" s="5"/>
      <c r="G2" s="1"/>
      <c r="H2" s="1"/>
      <c r="I2" s="1"/>
      <c r="J2" s="1"/>
      <c r="K2" s="1"/>
      <c r="L2" s="1"/>
      <c r="M2" s="108"/>
      <c r="N2" s="108"/>
      <c r="O2" s="108"/>
      <c r="P2" s="1"/>
      <c r="Q2" s="1"/>
      <c r="R2" s="1"/>
      <c r="S2" s="1"/>
      <c r="T2" s="1"/>
      <c r="V2" s="95">
        <v>1.05</v>
      </c>
    </row>
    <row r="3" spans="1:22" ht="15.6">
      <c r="A3" s="132" t="s">
        <v>1</v>
      </c>
      <c r="B3" s="29" t="s">
        <v>2</v>
      </c>
      <c r="C3" s="30" t="s">
        <v>3</v>
      </c>
      <c r="D3" s="31" t="s">
        <v>4</v>
      </c>
      <c r="E3" s="31" t="s">
        <v>5</v>
      </c>
      <c r="F3" s="31" t="s">
        <v>6</v>
      </c>
      <c r="G3" s="31" t="s">
        <v>7</v>
      </c>
      <c r="H3" s="32" t="s">
        <v>8</v>
      </c>
      <c r="I3" s="32" t="s">
        <v>9</v>
      </c>
      <c r="J3" s="66" t="s">
        <v>10</v>
      </c>
      <c r="K3" s="67" t="s">
        <v>11</v>
      </c>
      <c r="L3" s="97" t="s">
        <v>12</v>
      </c>
      <c r="M3" s="109"/>
      <c r="N3" s="109"/>
      <c r="O3" s="109"/>
      <c r="P3" s="124"/>
      <c r="Q3" s="5"/>
      <c r="R3" s="5"/>
      <c r="S3" s="5"/>
      <c r="T3" s="134"/>
    </row>
    <row r="4" spans="1:22" ht="17.45" thickBot="1">
      <c r="A4" s="133"/>
      <c r="B4" s="13" t="s">
        <v>13</v>
      </c>
      <c r="C4" s="13" t="s">
        <v>14</v>
      </c>
      <c r="D4" s="13" t="s">
        <v>14</v>
      </c>
      <c r="E4" s="13" t="s">
        <v>14</v>
      </c>
      <c r="F4" s="13" t="s">
        <v>15</v>
      </c>
      <c r="G4" s="13"/>
      <c r="H4" s="14" t="s">
        <v>16</v>
      </c>
      <c r="I4" s="57" t="s">
        <v>17</v>
      </c>
      <c r="J4" s="63" t="s">
        <v>18</v>
      </c>
      <c r="K4" s="64" t="s">
        <v>18</v>
      </c>
      <c r="L4" s="98"/>
      <c r="M4" s="110"/>
      <c r="N4" s="110"/>
      <c r="O4" s="110"/>
      <c r="P4" s="125"/>
      <c r="Q4" s="6"/>
      <c r="R4" s="5"/>
      <c r="S4" s="5"/>
      <c r="T4" s="134"/>
    </row>
    <row r="5" spans="1:22">
      <c r="A5" s="47" t="s">
        <v>19</v>
      </c>
      <c r="B5" s="68"/>
      <c r="C5" s="68"/>
      <c r="D5" s="68"/>
      <c r="E5" s="68"/>
      <c r="F5" s="68"/>
      <c r="G5" s="69"/>
      <c r="H5" s="70"/>
      <c r="I5" s="71"/>
      <c r="J5" s="72"/>
      <c r="K5" s="86">
        <f>K6+K11+K16</f>
        <v>26429291.024999999</v>
      </c>
      <c r="L5" s="99"/>
      <c r="M5" s="118"/>
      <c r="N5" s="111"/>
      <c r="O5" s="111"/>
      <c r="P5" s="126"/>
      <c r="Q5" s="6"/>
      <c r="R5" s="5"/>
      <c r="S5" s="5"/>
      <c r="T5" s="21"/>
    </row>
    <row r="6" spans="1:22">
      <c r="A6" s="22" t="s">
        <v>20</v>
      </c>
      <c r="B6" s="4"/>
      <c r="C6" s="4"/>
      <c r="D6" s="4"/>
      <c r="E6" s="4"/>
      <c r="F6" s="4"/>
      <c r="G6" s="9"/>
      <c r="H6" s="17"/>
      <c r="I6" s="58"/>
      <c r="J6" s="60"/>
      <c r="K6" s="85">
        <f>SUM(K7:K10)</f>
        <v>12637875.074999999</v>
      </c>
      <c r="L6" s="100"/>
      <c r="M6" s="119">
        <f>K6</f>
        <v>12637875.074999999</v>
      </c>
      <c r="N6" s="112"/>
      <c r="O6" s="112"/>
      <c r="P6" s="6"/>
      <c r="Q6" s="6"/>
      <c r="R6" s="5"/>
      <c r="S6" s="5"/>
      <c r="T6" s="21"/>
    </row>
    <row r="7" spans="1:22">
      <c r="A7" s="24" t="s">
        <v>21</v>
      </c>
      <c r="B7" s="25">
        <f>445+15+33+320+31</f>
        <v>844</v>
      </c>
      <c r="C7" s="26" t="s">
        <v>22</v>
      </c>
      <c r="D7" s="26" t="s">
        <v>22</v>
      </c>
      <c r="E7" s="26" t="s">
        <v>22</v>
      </c>
      <c r="F7" s="26" t="s">
        <v>22</v>
      </c>
      <c r="G7" s="27" t="s">
        <v>23</v>
      </c>
      <c r="H7" s="17"/>
      <c r="I7" s="58"/>
      <c r="J7" s="61">
        <f>V7*$V$2</f>
        <v>3087</v>
      </c>
      <c r="K7" s="65">
        <f>B7*J7</f>
        <v>2605428</v>
      </c>
      <c r="L7" s="101" t="s">
        <v>24</v>
      </c>
      <c r="M7" s="113"/>
      <c r="N7" s="113"/>
      <c r="O7" s="113"/>
      <c r="P7" s="127"/>
      <c r="Q7" s="1"/>
      <c r="R7" s="1"/>
      <c r="T7" s="1"/>
      <c r="V7" s="1">
        <v>2940</v>
      </c>
    </row>
    <row r="8" spans="1:22">
      <c r="A8" s="24" t="s">
        <v>25</v>
      </c>
      <c r="B8" s="25">
        <f>3500-13.3*3+563</f>
        <v>4023.1</v>
      </c>
      <c r="C8" s="26" t="s">
        <v>22</v>
      </c>
      <c r="D8" s="26" t="s">
        <v>22</v>
      </c>
      <c r="E8" s="26" t="s">
        <v>22</v>
      </c>
      <c r="F8" s="26" t="s">
        <v>22</v>
      </c>
      <c r="G8" s="27" t="s">
        <v>26</v>
      </c>
      <c r="H8" s="17"/>
      <c r="I8" s="58"/>
      <c r="J8" s="61">
        <f t="shared" ref="J8:J17" si="0">V8*$V$2</f>
        <v>2299.5</v>
      </c>
      <c r="K8" s="65">
        <f t="shared" ref="K8:K32" si="1">B8*J8</f>
        <v>9251118.4499999993</v>
      </c>
      <c r="L8" s="101" t="s">
        <v>27</v>
      </c>
      <c r="M8" s="113"/>
      <c r="N8" s="113"/>
      <c r="O8" s="113"/>
      <c r="P8" s="127"/>
      <c r="Q8" s="1"/>
      <c r="R8" s="1"/>
      <c r="T8" s="1"/>
      <c r="V8" s="1">
        <v>2190</v>
      </c>
    </row>
    <row r="9" spans="1:22">
      <c r="A9" s="24" t="s">
        <v>28</v>
      </c>
      <c r="B9" s="25">
        <f>65+13.3*15+36+55*3+20+131+29</f>
        <v>645.5</v>
      </c>
      <c r="C9" s="26" t="s">
        <v>22</v>
      </c>
      <c r="D9" s="26" t="s">
        <v>22</v>
      </c>
      <c r="E9" s="26" t="s">
        <v>22</v>
      </c>
      <c r="F9" s="26" t="s">
        <v>22</v>
      </c>
      <c r="G9" s="27" t="s">
        <v>29</v>
      </c>
      <c r="H9" s="17"/>
      <c r="I9" s="58"/>
      <c r="J9" s="61">
        <f t="shared" si="0"/>
        <v>1044.75</v>
      </c>
      <c r="K9" s="65">
        <f t="shared" si="1"/>
        <v>674386.125</v>
      </c>
      <c r="L9" s="101" t="s">
        <v>30</v>
      </c>
      <c r="M9" s="113"/>
      <c r="N9" s="113"/>
      <c r="O9" s="113"/>
      <c r="P9" s="127"/>
      <c r="Q9" s="1"/>
      <c r="R9" s="1"/>
      <c r="T9" s="1"/>
      <c r="V9" s="1">
        <v>995</v>
      </c>
    </row>
    <row r="10" spans="1:22" ht="27.6">
      <c r="A10" s="24" t="s">
        <v>31</v>
      </c>
      <c r="B10" s="34" t="s">
        <v>22</v>
      </c>
      <c r="C10" s="34" t="s">
        <v>22</v>
      </c>
      <c r="D10" s="34" t="s">
        <v>22</v>
      </c>
      <c r="E10" s="34" t="s">
        <v>22</v>
      </c>
      <c r="F10" s="34">
        <v>21</v>
      </c>
      <c r="G10" s="27" t="s">
        <v>32</v>
      </c>
      <c r="H10" s="17"/>
      <c r="I10" s="58"/>
      <c r="J10" s="61">
        <f t="shared" si="0"/>
        <v>5092.5</v>
      </c>
      <c r="K10" s="65">
        <f>F10*J10</f>
        <v>106942.5</v>
      </c>
      <c r="L10" s="102" t="s">
        <v>33</v>
      </c>
      <c r="M10" s="114"/>
      <c r="N10" s="114"/>
      <c r="O10" s="114"/>
      <c r="P10" s="128"/>
      <c r="Q10" s="1"/>
      <c r="R10" s="1"/>
      <c r="T10" s="1"/>
      <c r="V10" s="1">
        <v>4850</v>
      </c>
    </row>
    <row r="11" spans="1:22">
      <c r="A11" s="22" t="s">
        <v>34</v>
      </c>
      <c r="B11" s="23"/>
      <c r="C11" s="26"/>
      <c r="D11" s="26"/>
      <c r="E11" s="26"/>
      <c r="F11" s="26"/>
      <c r="G11" s="9"/>
      <c r="H11" s="17"/>
      <c r="I11" s="58"/>
      <c r="J11" s="61">
        <f t="shared" si="0"/>
        <v>0</v>
      </c>
      <c r="K11" s="85">
        <f>SUM(K12:K15)</f>
        <v>6874915.9500000002</v>
      </c>
      <c r="L11" s="101"/>
      <c r="M11" s="113"/>
      <c r="N11" s="113"/>
      <c r="P11" s="113">
        <f>K11</f>
        <v>6874915.9500000002</v>
      </c>
      <c r="Q11" s="1"/>
      <c r="R11" s="1"/>
      <c r="T11" s="1"/>
      <c r="V11" s="1"/>
    </row>
    <row r="12" spans="1:22">
      <c r="A12" s="24" t="s">
        <v>21</v>
      </c>
      <c r="B12" s="25">
        <f>100+104</f>
        <v>204</v>
      </c>
      <c r="C12" s="26" t="s">
        <v>22</v>
      </c>
      <c r="D12" s="26" t="s">
        <v>22</v>
      </c>
      <c r="E12" s="26" t="s">
        <v>22</v>
      </c>
      <c r="F12" s="26" t="s">
        <v>22</v>
      </c>
      <c r="G12" s="27" t="s">
        <v>23</v>
      </c>
      <c r="H12" s="17"/>
      <c r="I12" s="58"/>
      <c r="J12" s="61">
        <f t="shared" si="0"/>
        <v>3087</v>
      </c>
      <c r="K12" s="65">
        <f t="shared" si="1"/>
        <v>629748</v>
      </c>
      <c r="L12" s="101" t="s">
        <v>24</v>
      </c>
      <c r="M12" s="113"/>
      <c r="N12" s="113"/>
      <c r="O12" s="113"/>
      <c r="P12" s="127"/>
      <c r="Q12" s="28">
        <f>SUM(B7:B9)</f>
        <v>5512.6</v>
      </c>
      <c r="R12" s="1"/>
      <c r="T12" s="1"/>
      <c r="V12" s="1">
        <v>2940</v>
      </c>
    </row>
    <row r="13" spans="1:22">
      <c r="A13" s="24" t="s">
        <v>25</v>
      </c>
      <c r="B13" s="25">
        <v>2539</v>
      </c>
      <c r="C13" s="26" t="s">
        <v>22</v>
      </c>
      <c r="D13" s="26" t="s">
        <v>22</v>
      </c>
      <c r="E13" s="26" t="s">
        <v>22</v>
      </c>
      <c r="F13" s="26" t="s">
        <v>22</v>
      </c>
      <c r="G13" s="27" t="s">
        <v>26</v>
      </c>
      <c r="H13" s="17"/>
      <c r="I13" s="58"/>
      <c r="J13" s="61">
        <f t="shared" si="0"/>
        <v>2299.5</v>
      </c>
      <c r="K13" s="65">
        <f t="shared" si="1"/>
        <v>5838430.5</v>
      </c>
      <c r="L13" s="101" t="s">
        <v>27</v>
      </c>
      <c r="M13" s="113"/>
      <c r="N13" s="113"/>
      <c r="O13" s="113"/>
      <c r="P13" s="127"/>
      <c r="Q13" s="1"/>
      <c r="R13" s="1"/>
      <c r="T13" s="1"/>
      <c r="V13" s="1">
        <v>2190</v>
      </c>
    </row>
    <row r="14" spans="1:22">
      <c r="A14" s="24" t="s">
        <v>28</v>
      </c>
      <c r="B14" s="25">
        <f>13.3*14+2*55+2*10</f>
        <v>316.20000000000005</v>
      </c>
      <c r="C14" s="26" t="s">
        <v>22</v>
      </c>
      <c r="D14" s="26" t="s">
        <v>22</v>
      </c>
      <c r="E14" s="26" t="s">
        <v>22</v>
      </c>
      <c r="F14" s="26" t="s">
        <v>22</v>
      </c>
      <c r="G14" s="27" t="s">
        <v>29</v>
      </c>
      <c r="H14" s="17"/>
      <c r="I14" s="58"/>
      <c r="J14" s="61">
        <f t="shared" si="0"/>
        <v>1044.75</v>
      </c>
      <c r="K14" s="65">
        <f t="shared" si="1"/>
        <v>330349.95000000007</v>
      </c>
      <c r="L14" s="101" t="s">
        <v>30</v>
      </c>
      <c r="M14" s="113"/>
      <c r="N14" s="113"/>
      <c r="O14" s="113"/>
      <c r="P14" s="127"/>
      <c r="Q14" s="28">
        <f>SUM(B12:B14)</f>
        <v>3059.2</v>
      </c>
      <c r="R14" s="1"/>
      <c r="T14" s="1"/>
      <c r="V14" s="1">
        <v>995</v>
      </c>
    </row>
    <row r="15" spans="1:22" ht="47.45" customHeight="1">
      <c r="A15" s="24" t="s">
        <v>31</v>
      </c>
      <c r="B15" s="34" t="s">
        <v>22</v>
      </c>
      <c r="C15" s="34" t="s">
        <v>22</v>
      </c>
      <c r="D15" s="34" t="s">
        <v>22</v>
      </c>
      <c r="E15" s="34" t="s">
        <v>22</v>
      </c>
      <c r="F15" s="34">
        <v>15</v>
      </c>
      <c r="G15" s="27" t="s">
        <v>35</v>
      </c>
      <c r="H15" s="17"/>
      <c r="I15" s="58"/>
      <c r="J15" s="61">
        <f t="shared" si="0"/>
        <v>5092.5</v>
      </c>
      <c r="K15" s="65">
        <f>F15*J15</f>
        <v>76387.5</v>
      </c>
      <c r="L15" s="102" t="s">
        <v>33</v>
      </c>
      <c r="M15" s="114"/>
      <c r="N15" s="114"/>
      <c r="O15" s="114"/>
      <c r="P15" s="128"/>
      <c r="Q15" s="1"/>
      <c r="R15" s="1"/>
      <c r="T15" s="1"/>
      <c r="V15" s="1">
        <v>4850</v>
      </c>
    </row>
    <row r="16" spans="1:22" ht="47.45" customHeight="1">
      <c r="A16" s="53" t="s">
        <v>36</v>
      </c>
      <c r="B16" s="34">
        <v>8700</v>
      </c>
      <c r="C16" s="34"/>
      <c r="D16" s="34"/>
      <c r="E16" s="34"/>
      <c r="F16" s="34"/>
      <c r="G16" s="27"/>
      <c r="H16" s="17"/>
      <c r="I16" s="58"/>
      <c r="J16" s="61">
        <f>V16</f>
        <v>795</v>
      </c>
      <c r="K16" s="85">
        <f>B16*J16</f>
        <v>6916500</v>
      </c>
      <c r="L16" s="102"/>
      <c r="M16" s="114"/>
      <c r="N16" s="114"/>
      <c r="O16" s="114"/>
      <c r="P16" s="128"/>
      <c r="Q16" s="1"/>
      <c r="R16" s="1"/>
      <c r="T16" s="1"/>
      <c r="V16" s="1">
        <v>795</v>
      </c>
    </row>
    <row r="17" spans="1:22" ht="26.45">
      <c r="A17" s="48" t="s">
        <v>37</v>
      </c>
      <c r="B17" s="73">
        <v>70</v>
      </c>
      <c r="C17" s="73">
        <v>3.5</v>
      </c>
      <c r="D17" s="73" t="s">
        <v>22</v>
      </c>
      <c r="E17" s="73" t="s">
        <v>22</v>
      </c>
      <c r="F17" s="73" t="s">
        <v>22</v>
      </c>
      <c r="G17" s="74" t="s">
        <v>38</v>
      </c>
      <c r="H17" s="70"/>
      <c r="I17" s="71"/>
      <c r="J17" s="75">
        <f t="shared" si="0"/>
        <v>36750</v>
      </c>
      <c r="K17" s="87">
        <f>B17*J17</f>
        <v>2572500</v>
      </c>
      <c r="L17" s="103" t="s">
        <v>39</v>
      </c>
      <c r="M17" s="115">
        <f>K17</f>
        <v>2572500</v>
      </c>
      <c r="N17" s="115"/>
      <c r="O17" s="115"/>
      <c r="P17" s="129"/>
      <c r="Q17" s="1"/>
      <c r="R17" s="1"/>
      <c r="T17" s="3"/>
      <c r="V17" s="1">
        <v>35000</v>
      </c>
    </row>
    <row r="18" spans="1:22" ht="33.6" customHeight="1">
      <c r="A18" s="49" t="s">
        <v>40</v>
      </c>
      <c r="B18" s="73" t="s">
        <v>22</v>
      </c>
      <c r="C18" s="73" t="s">
        <v>22</v>
      </c>
      <c r="D18" s="73" t="s">
        <v>22</v>
      </c>
      <c r="E18" s="73" t="s">
        <v>22</v>
      </c>
      <c r="F18" s="73" t="s">
        <v>22</v>
      </c>
      <c r="G18" s="74"/>
      <c r="H18" s="70"/>
      <c r="I18" s="71"/>
      <c r="J18" s="75"/>
      <c r="K18" s="87">
        <f>K19+K20+K21+K22</f>
        <v>16939387.5</v>
      </c>
      <c r="L18" s="103"/>
      <c r="M18" s="115">
        <f>K18</f>
        <v>16939387.5</v>
      </c>
      <c r="N18" s="115"/>
      <c r="O18" s="115"/>
      <c r="P18" s="129"/>
      <c r="Q18" s="1"/>
      <c r="R18" s="1"/>
      <c r="T18" s="3"/>
      <c r="V18" s="1"/>
    </row>
    <row r="19" spans="1:22" ht="46.15" customHeight="1">
      <c r="A19" s="24" t="s">
        <v>41</v>
      </c>
      <c r="B19" s="33">
        <v>200</v>
      </c>
      <c r="C19" s="33">
        <v>7</v>
      </c>
      <c r="D19" s="26" t="s">
        <v>22</v>
      </c>
      <c r="E19" s="26" t="s">
        <v>22</v>
      </c>
      <c r="F19" s="26" t="s">
        <v>22</v>
      </c>
      <c r="G19" s="27" t="s">
        <v>42</v>
      </c>
      <c r="H19" s="17"/>
      <c r="I19" s="58"/>
      <c r="J19" s="61">
        <f>V19*$V$2</f>
        <v>55125</v>
      </c>
      <c r="K19" s="89">
        <f>B19*J19</f>
        <v>11025000</v>
      </c>
      <c r="L19" s="104" t="s">
        <v>43</v>
      </c>
      <c r="M19" s="116"/>
      <c r="N19" s="116"/>
      <c r="O19" s="116"/>
      <c r="P19" s="130"/>
      <c r="Q19" s="1"/>
      <c r="R19" s="1"/>
      <c r="T19" s="3"/>
      <c r="V19" s="1">
        <v>52500</v>
      </c>
    </row>
    <row r="20" spans="1:22">
      <c r="A20" s="24" t="s">
        <v>44</v>
      </c>
      <c r="B20" s="8">
        <v>1700</v>
      </c>
      <c r="C20" s="26" t="s">
        <v>22</v>
      </c>
      <c r="D20" s="26" t="s">
        <v>22</v>
      </c>
      <c r="E20" s="26" t="s">
        <v>22</v>
      </c>
      <c r="F20" s="26" t="s">
        <v>22</v>
      </c>
      <c r="G20" s="27" t="s">
        <v>45</v>
      </c>
      <c r="H20" s="17"/>
      <c r="I20" s="58"/>
      <c r="J20" s="61">
        <f t="shared" ref="J20:J22" si="2">V20*$V$2</f>
        <v>2887.5</v>
      </c>
      <c r="K20" s="65">
        <f t="shared" si="1"/>
        <v>4908750</v>
      </c>
      <c r="L20" s="101" t="s">
        <v>46</v>
      </c>
      <c r="M20" s="113"/>
      <c r="N20" s="113"/>
      <c r="O20" s="113"/>
      <c r="P20" s="127"/>
      <c r="Q20" s="1"/>
      <c r="R20" s="1"/>
      <c r="T20" s="3"/>
      <c r="V20" s="1">
        <v>2750</v>
      </c>
    </row>
    <row r="21" spans="1:22">
      <c r="A21" s="24" t="s">
        <v>21</v>
      </c>
      <c r="B21" s="8">
        <f>190+43+42</f>
        <v>275</v>
      </c>
      <c r="C21" s="26" t="s">
        <v>22</v>
      </c>
      <c r="D21" s="26" t="s">
        <v>22</v>
      </c>
      <c r="E21" s="26" t="s">
        <v>22</v>
      </c>
      <c r="F21" s="26" t="s">
        <v>22</v>
      </c>
      <c r="G21" s="27" t="s">
        <v>23</v>
      </c>
      <c r="H21" s="17"/>
      <c r="I21" s="58"/>
      <c r="J21" s="61">
        <f t="shared" si="2"/>
        <v>3087</v>
      </c>
      <c r="K21" s="65">
        <f t="shared" si="1"/>
        <v>848925</v>
      </c>
      <c r="L21" s="101" t="s">
        <v>24</v>
      </c>
      <c r="M21" s="113"/>
      <c r="N21" s="113"/>
      <c r="O21" s="113"/>
      <c r="P21" s="127"/>
      <c r="Q21" s="1"/>
      <c r="R21" s="1"/>
      <c r="T21" s="3"/>
      <c r="V21" s="1">
        <v>2940</v>
      </c>
    </row>
    <row r="22" spans="1:22">
      <c r="A22" s="24" t="s">
        <v>47</v>
      </c>
      <c r="B22" s="8">
        <v>150</v>
      </c>
      <c r="C22" s="26" t="s">
        <v>22</v>
      </c>
      <c r="D22" s="26" t="s">
        <v>22</v>
      </c>
      <c r="E22" s="26" t="s">
        <v>22</v>
      </c>
      <c r="F22" s="26" t="s">
        <v>22</v>
      </c>
      <c r="G22" s="27" t="s">
        <v>29</v>
      </c>
      <c r="H22" s="17"/>
      <c r="I22" s="58"/>
      <c r="J22" s="61">
        <f t="shared" si="2"/>
        <v>1044.75</v>
      </c>
      <c r="K22" s="65">
        <f t="shared" si="1"/>
        <v>156712.5</v>
      </c>
      <c r="L22" s="101" t="s">
        <v>30</v>
      </c>
      <c r="M22" s="113"/>
      <c r="N22" s="113"/>
      <c r="O22" s="113"/>
      <c r="P22" s="127"/>
      <c r="Q22" s="1"/>
      <c r="R22" s="1"/>
      <c r="T22" s="3"/>
      <c r="V22" s="1">
        <v>995</v>
      </c>
    </row>
    <row r="23" spans="1:22">
      <c r="A23" s="50" t="s">
        <v>48</v>
      </c>
      <c r="B23" s="76"/>
      <c r="C23" s="73"/>
      <c r="D23" s="77"/>
      <c r="E23" s="77"/>
      <c r="F23" s="77"/>
      <c r="G23" s="69"/>
      <c r="H23" s="70"/>
      <c r="I23" s="71"/>
      <c r="J23" s="75"/>
      <c r="K23" s="87">
        <f>K24+K29+K34</f>
        <v>27457391.024999999</v>
      </c>
      <c r="L23" s="105"/>
      <c r="M23" s="117"/>
      <c r="N23" s="117"/>
      <c r="O23" s="117"/>
      <c r="P23" s="131"/>
      <c r="Q23" s="2"/>
      <c r="R23" s="1"/>
      <c r="T23" s="2"/>
      <c r="V23" s="1"/>
    </row>
    <row r="24" spans="1:22">
      <c r="A24" s="22" t="s">
        <v>20</v>
      </c>
      <c r="B24" s="8"/>
      <c r="C24" s="8"/>
      <c r="D24" s="4"/>
      <c r="E24" s="4"/>
      <c r="F24" s="4"/>
      <c r="G24" s="9"/>
      <c r="H24" s="17"/>
      <c r="I24" s="58"/>
      <c r="J24" s="61"/>
      <c r="K24" s="85">
        <f>SUM(K25:K28)</f>
        <v>14416233.825000001</v>
      </c>
      <c r="L24" s="101"/>
      <c r="M24" s="113"/>
      <c r="N24" s="113">
        <f>K24</f>
        <v>14416233.825000001</v>
      </c>
      <c r="O24" s="113"/>
      <c r="P24" s="127"/>
      <c r="Q24" s="2"/>
      <c r="R24" s="1"/>
      <c r="T24" s="2"/>
      <c r="V24" s="1"/>
    </row>
    <row r="25" spans="1:22">
      <c r="A25" s="24" t="s">
        <v>21</v>
      </c>
      <c r="B25" s="33">
        <f>350+30+100+80+220+80+85</f>
        <v>945</v>
      </c>
      <c r="C25" s="26" t="s">
        <v>22</v>
      </c>
      <c r="D25" s="26" t="s">
        <v>22</v>
      </c>
      <c r="E25" s="26" t="s">
        <v>22</v>
      </c>
      <c r="F25" s="26" t="s">
        <v>22</v>
      </c>
      <c r="G25" s="27" t="s">
        <v>23</v>
      </c>
      <c r="H25" s="17"/>
      <c r="I25" s="58"/>
      <c r="J25" s="61">
        <f>V25*$V$2</f>
        <v>3087</v>
      </c>
      <c r="K25" s="65">
        <f t="shared" si="1"/>
        <v>2917215</v>
      </c>
      <c r="L25" s="101" t="s">
        <v>24</v>
      </c>
      <c r="M25" s="113"/>
      <c r="N25" s="113"/>
      <c r="O25" s="113"/>
      <c r="P25" s="127"/>
      <c r="Q25" s="2"/>
      <c r="R25" s="1"/>
      <c r="T25" s="2"/>
      <c r="V25" s="1">
        <v>2940</v>
      </c>
    </row>
    <row r="26" spans="1:22">
      <c r="A26" s="24" t="s">
        <v>25</v>
      </c>
      <c r="B26" s="25">
        <f>5113-100-62-55-60-21*13.3</f>
        <v>4556.7</v>
      </c>
      <c r="C26" s="26" t="s">
        <v>22</v>
      </c>
      <c r="D26" s="26" t="s">
        <v>22</v>
      </c>
      <c r="E26" s="26" t="s">
        <v>22</v>
      </c>
      <c r="F26" s="26" t="s">
        <v>22</v>
      </c>
      <c r="G26" s="27" t="s">
        <v>26</v>
      </c>
      <c r="H26" s="17"/>
      <c r="I26" s="58"/>
      <c r="J26" s="61">
        <f t="shared" ref="J26:J35" si="3">V26*$V$2</f>
        <v>2299.5</v>
      </c>
      <c r="K26" s="65">
        <f t="shared" si="1"/>
        <v>10478131.65</v>
      </c>
      <c r="L26" s="101" t="s">
        <v>27</v>
      </c>
      <c r="M26" s="113"/>
      <c r="N26" s="113"/>
      <c r="O26" s="113"/>
      <c r="P26" s="127"/>
      <c r="Q26" s="2"/>
      <c r="R26" s="1"/>
      <c r="T26" s="2"/>
      <c r="V26" s="1">
        <v>2190</v>
      </c>
    </row>
    <row r="27" spans="1:22">
      <c r="A27" s="24" t="s">
        <v>28</v>
      </c>
      <c r="B27" s="25">
        <f>13.3*21+59+62+100+55+60+45+8+42+100+45</f>
        <v>855.3</v>
      </c>
      <c r="C27" s="26" t="s">
        <v>22</v>
      </c>
      <c r="D27" s="26" t="s">
        <v>22</v>
      </c>
      <c r="E27" s="26" t="s">
        <v>22</v>
      </c>
      <c r="F27" s="26" t="s">
        <v>22</v>
      </c>
      <c r="G27" s="27" t="s">
        <v>29</v>
      </c>
      <c r="H27" s="17"/>
      <c r="I27" s="58"/>
      <c r="J27" s="61">
        <f t="shared" si="3"/>
        <v>1044.75</v>
      </c>
      <c r="K27" s="65">
        <f t="shared" si="1"/>
        <v>893574.67499999993</v>
      </c>
      <c r="L27" s="101" t="s">
        <v>30</v>
      </c>
      <c r="M27" s="113"/>
      <c r="N27" s="113"/>
      <c r="O27" s="113"/>
      <c r="P27" s="127"/>
      <c r="Q27" s="2"/>
      <c r="R27" s="1"/>
      <c r="T27" s="2"/>
      <c r="V27" s="1">
        <v>995</v>
      </c>
    </row>
    <row r="28" spans="1:22" ht="39.6">
      <c r="A28" s="24" t="s">
        <v>31</v>
      </c>
      <c r="B28" s="34" t="s">
        <v>22</v>
      </c>
      <c r="C28" s="34" t="s">
        <v>22</v>
      </c>
      <c r="D28" s="34" t="s">
        <v>22</v>
      </c>
      <c r="E28" s="34" t="s">
        <v>22</v>
      </c>
      <c r="F28" s="33">
        <v>25</v>
      </c>
      <c r="G28" s="27" t="s">
        <v>49</v>
      </c>
      <c r="H28" s="17"/>
      <c r="I28" s="58"/>
      <c r="J28" s="61">
        <f t="shared" si="3"/>
        <v>5092.5</v>
      </c>
      <c r="K28" s="65">
        <f>F28*J28</f>
        <v>127312.5</v>
      </c>
      <c r="L28" s="102" t="s">
        <v>33</v>
      </c>
      <c r="M28" s="114"/>
      <c r="N28" s="114"/>
      <c r="O28" s="114"/>
      <c r="P28" s="128"/>
      <c r="Q28" s="2"/>
      <c r="R28" s="1"/>
      <c r="T28" s="2"/>
      <c r="V28" s="1">
        <v>4850</v>
      </c>
    </row>
    <row r="29" spans="1:22">
      <c r="A29" s="22" t="s">
        <v>34</v>
      </c>
      <c r="B29" s="33"/>
      <c r="C29" s="4"/>
      <c r="D29" s="4"/>
      <c r="E29" s="4"/>
      <c r="F29" s="8"/>
      <c r="G29" s="9"/>
      <c r="H29" s="17"/>
      <c r="I29" s="58"/>
      <c r="J29" s="61">
        <f t="shared" si="3"/>
        <v>0</v>
      </c>
      <c r="K29" s="85">
        <f>SUM(K30:K33)</f>
        <v>5886157.1999999993</v>
      </c>
      <c r="L29" s="101"/>
      <c r="M29" s="113"/>
      <c r="N29" s="113"/>
      <c r="P29" s="113">
        <f>K29</f>
        <v>5886157.1999999993</v>
      </c>
      <c r="Q29" s="2"/>
      <c r="R29" s="1"/>
      <c r="T29" s="2"/>
      <c r="V29" s="1"/>
    </row>
    <row r="30" spans="1:22">
      <c r="A30" s="24" t="s">
        <v>21</v>
      </c>
      <c r="B30" s="33">
        <f>120*2</f>
        <v>240</v>
      </c>
      <c r="C30" s="26" t="s">
        <v>22</v>
      </c>
      <c r="D30" s="26" t="s">
        <v>22</v>
      </c>
      <c r="E30" s="26" t="s">
        <v>22</v>
      </c>
      <c r="F30" s="26" t="s">
        <v>22</v>
      </c>
      <c r="G30" s="27" t="s">
        <v>23</v>
      </c>
      <c r="H30" s="17"/>
      <c r="I30" s="58"/>
      <c r="J30" s="61">
        <f t="shared" si="3"/>
        <v>3087</v>
      </c>
      <c r="K30" s="65">
        <f t="shared" si="1"/>
        <v>740880</v>
      </c>
      <c r="L30" s="101" t="s">
        <v>50</v>
      </c>
      <c r="M30" s="113"/>
      <c r="N30" s="113"/>
      <c r="O30" s="113"/>
      <c r="P30" s="127"/>
      <c r="Q30" s="2"/>
      <c r="R30" s="1"/>
      <c r="T30" s="2"/>
      <c r="V30" s="1">
        <v>2940</v>
      </c>
    </row>
    <row r="31" spans="1:22">
      <c r="A31" s="24" t="s">
        <v>25</v>
      </c>
      <c r="B31" s="25">
        <f>2387-58-58-10-16*13.3</f>
        <v>2048.1999999999998</v>
      </c>
      <c r="C31" s="26" t="s">
        <v>22</v>
      </c>
      <c r="D31" s="26" t="s">
        <v>22</v>
      </c>
      <c r="E31" s="26" t="s">
        <v>22</v>
      </c>
      <c r="F31" s="26" t="s">
        <v>22</v>
      </c>
      <c r="G31" s="27" t="s">
        <v>26</v>
      </c>
      <c r="H31" s="17"/>
      <c r="I31" s="58"/>
      <c r="J31" s="61">
        <f t="shared" si="3"/>
        <v>2299.5</v>
      </c>
      <c r="K31" s="65">
        <f t="shared" si="1"/>
        <v>4709835.8999999994</v>
      </c>
      <c r="L31" s="101" t="s">
        <v>27</v>
      </c>
      <c r="M31" s="113"/>
      <c r="N31" s="113"/>
      <c r="O31" s="113"/>
      <c r="P31" s="127"/>
      <c r="Q31" s="2"/>
      <c r="R31" s="1"/>
      <c r="T31" s="2"/>
      <c r="V31" s="1">
        <v>2190</v>
      </c>
    </row>
    <row r="32" spans="1:22">
      <c r="A32" s="24" t="s">
        <v>28</v>
      </c>
      <c r="B32" s="25">
        <f>10+2*58+16*13.3</f>
        <v>338.8</v>
      </c>
      <c r="C32" s="26" t="s">
        <v>22</v>
      </c>
      <c r="D32" s="26" t="s">
        <v>22</v>
      </c>
      <c r="E32" s="26" t="s">
        <v>22</v>
      </c>
      <c r="F32" s="26" t="s">
        <v>22</v>
      </c>
      <c r="G32" s="27" t="s">
        <v>29</v>
      </c>
      <c r="H32" s="17"/>
      <c r="I32" s="58"/>
      <c r="J32" s="61">
        <f t="shared" si="3"/>
        <v>1044.75</v>
      </c>
      <c r="K32" s="65">
        <f t="shared" si="1"/>
        <v>353961.3</v>
      </c>
      <c r="L32" s="101" t="s">
        <v>30</v>
      </c>
      <c r="M32" s="113"/>
      <c r="N32" s="113"/>
      <c r="O32" s="113"/>
      <c r="P32" s="127"/>
      <c r="Q32" s="2"/>
      <c r="R32" s="1"/>
      <c r="T32" s="2"/>
      <c r="V32" s="1">
        <v>995</v>
      </c>
    </row>
    <row r="33" spans="1:22" ht="27.6">
      <c r="A33" s="24" t="s">
        <v>31</v>
      </c>
      <c r="B33" s="34" t="s">
        <v>22</v>
      </c>
      <c r="C33" s="34" t="s">
        <v>22</v>
      </c>
      <c r="D33" s="34" t="s">
        <v>22</v>
      </c>
      <c r="E33" s="34" t="s">
        <v>22</v>
      </c>
      <c r="F33" s="33">
        <v>16</v>
      </c>
      <c r="G33" s="27" t="s">
        <v>35</v>
      </c>
      <c r="H33" s="17"/>
      <c r="I33" s="58"/>
      <c r="J33" s="61">
        <f t="shared" si="3"/>
        <v>5092.5</v>
      </c>
      <c r="K33" s="65">
        <f>F33*J33</f>
        <v>81480</v>
      </c>
      <c r="L33" s="102" t="s">
        <v>33</v>
      </c>
      <c r="M33" s="114"/>
      <c r="N33" s="114"/>
      <c r="O33" s="114"/>
      <c r="P33" s="128"/>
      <c r="Q33" s="2"/>
      <c r="R33" s="1"/>
      <c r="T33" s="2"/>
      <c r="V33" s="1">
        <v>4850</v>
      </c>
    </row>
    <row r="34" spans="1:22">
      <c r="A34" s="53" t="s">
        <v>36</v>
      </c>
      <c r="B34" s="34">
        <v>9000</v>
      </c>
      <c r="C34" s="34"/>
      <c r="D34" s="34"/>
      <c r="E34" s="34"/>
      <c r="F34" s="33"/>
      <c r="G34" s="27"/>
      <c r="H34" s="17"/>
      <c r="I34" s="58"/>
      <c r="J34" s="61">
        <f>V34</f>
        <v>795</v>
      </c>
      <c r="K34" s="85">
        <f>B34*J34</f>
        <v>7155000</v>
      </c>
      <c r="L34" s="102"/>
      <c r="M34" s="114"/>
      <c r="N34" s="114"/>
      <c r="O34" s="114"/>
      <c r="P34" s="128"/>
      <c r="Q34" s="2"/>
      <c r="R34" s="1"/>
      <c r="T34" s="2"/>
      <c r="V34" s="1">
        <v>795</v>
      </c>
    </row>
    <row r="35" spans="1:22" ht="26.45">
      <c r="A35" s="48" t="s">
        <v>51</v>
      </c>
      <c r="B35" s="73">
        <f>80+85</f>
        <v>165</v>
      </c>
      <c r="C35" s="73">
        <v>4</v>
      </c>
      <c r="D35" s="73" t="s">
        <v>22</v>
      </c>
      <c r="E35" s="73" t="s">
        <v>22</v>
      </c>
      <c r="F35" s="73" t="s">
        <v>22</v>
      </c>
      <c r="G35" s="74" t="s">
        <v>38</v>
      </c>
      <c r="H35" s="70"/>
      <c r="I35" s="71"/>
      <c r="J35" s="75">
        <f t="shared" si="3"/>
        <v>42000</v>
      </c>
      <c r="K35" s="87">
        <f>B35*J35</f>
        <v>6930000</v>
      </c>
      <c r="L35" s="103" t="s">
        <v>52</v>
      </c>
      <c r="M35" s="115"/>
      <c r="N35" s="115">
        <f>K35</f>
        <v>6930000</v>
      </c>
      <c r="O35" s="115"/>
      <c r="P35" s="129"/>
      <c r="Q35" s="2"/>
      <c r="R35" s="1"/>
      <c r="T35" s="2"/>
      <c r="V35" s="1">
        <v>40000</v>
      </c>
    </row>
    <row r="36" spans="1:22" ht="16.149999999999999">
      <c r="A36" s="48" t="s">
        <v>53</v>
      </c>
      <c r="B36" s="73"/>
      <c r="C36" s="73"/>
      <c r="D36" s="73"/>
      <c r="E36" s="78"/>
      <c r="F36" s="78"/>
      <c r="G36" s="69"/>
      <c r="H36" s="70"/>
      <c r="I36" s="71"/>
      <c r="J36" s="75"/>
      <c r="K36" s="87">
        <f>SUM(K37:K46)</f>
        <v>292970653.5</v>
      </c>
      <c r="L36" s="105"/>
      <c r="M36" s="117"/>
      <c r="N36" s="117"/>
      <c r="O36" s="117"/>
      <c r="P36" s="131"/>
      <c r="Q36" s="2"/>
      <c r="R36" s="1"/>
      <c r="S36" s="1"/>
      <c r="T36" s="2"/>
    </row>
    <row r="37" spans="1:22">
      <c r="A37" s="53" t="s">
        <v>54</v>
      </c>
      <c r="B37" s="26" t="s">
        <v>22</v>
      </c>
      <c r="C37" s="26" t="s">
        <v>22</v>
      </c>
      <c r="D37" s="25">
        <f>900+210+210+670+422+885+662+144+1401</f>
        <v>5504</v>
      </c>
      <c r="E37" s="8">
        <v>6.5</v>
      </c>
      <c r="F37" s="26" t="s">
        <v>22</v>
      </c>
      <c r="G37" s="36" t="s">
        <v>55</v>
      </c>
      <c r="H37" s="17"/>
      <c r="I37" s="58"/>
      <c r="J37" s="61">
        <f>V37*$V$2</f>
        <v>15645</v>
      </c>
      <c r="K37" s="65">
        <f>D37*J37</f>
        <v>86110080</v>
      </c>
      <c r="L37" s="101" t="s">
        <v>56</v>
      </c>
      <c r="M37" s="113">
        <f>K37/2</f>
        <v>43055040</v>
      </c>
      <c r="N37" s="113">
        <f>K37-M37</f>
        <v>43055040</v>
      </c>
      <c r="O37" s="113"/>
      <c r="P37" s="127"/>
      <c r="Q37" s="2"/>
      <c r="R37" s="1"/>
      <c r="S37" s="1"/>
      <c r="T37" s="2"/>
      <c r="V37">
        <v>14900</v>
      </c>
    </row>
    <row r="38" spans="1:22">
      <c r="A38" s="53" t="s">
        <v>57</v>
      </c>
      <c r="B38" s="26" t="s">
        <v>22</v>
      </c>
      <c r="C38" s="26" t="s">
        <v>22</v>
      </c>
      <c r="D38" s="25">
        <f>103+480+583+147+170+445+440+2120+72</f>
        <v>4560</v>
      </c>
      <c r="E38" s="8">
        <v>6.5</v>
      </c>
      <c r="F38" s="26" t="s">
        <v>22</v>
      </c>
      <c r="G38" s="36" t="s">
        <v>55</v>
      </c>
      <c r="H38" s="17"/>
      <c r="I38" s="58"/>
      <c r="J38" s="61">
        <f t="shared" ref="J38:J46" si="4">V38*$V$2</f>
        <v>20716.5</v>
      </c>
      <c r="K38" s="65">
        <f t="shared" ref="K38:K46" si="5">D38*J38</f>
        <v>94467240</v>
      </c>
      <c r="L38" s="101" t="s">
        <v>56</v>
      </c>
      <c r="M38" s="113"/>
      <c r="N38" s="113"/>
      <c r="O38" s="113">
        <f>K38</f>
        <v>94467240</v>
      </c>
      <c r="P38" s="127"/>
      <c r="Q38" s="2"/>
      <c r="R38" s="1"/>
      <c r="S38" s="1"/>
      <c r="T38" s="2"/>
      <c r="V38">
        <v>19730</v>
      </c>
    </row>
    <row r="39" spans="1:22">
      <c r="A39" s="53" t="s">
        <v>58</v>
      </c>
      <c r="B39" s="26" t="s">
        <v>22</v>
      </c>
      <c r="C39" s="26" t="s">
        <v>22</v>
      </c>
      <c r="D39" s="25">
        <f>2380+522</f>
        <v>2902</v>
      </c>
      <c r="E39" s="8">
        <v>4</v>
      </c>
      <c r="F39" s="26" t="s">
        <v>22</v>
      </c>
      <c r="G39" s="36" t="s">
        <v>45</v>
      </c>
      <c r="H39" s="17"/>
      <c r="I39" s="58"/>
      <c r="J39" s="61">
        <f t="shared" si="4"/>
        <v>13639.5</v>
      </c>
      <c r="K39" s="65">
        <f t="shared" si="5"/>
        <v>39581829</v>
      </c>
      <c r="L39" s="101" t="s">
        <v>56</v>
      </c>
      <c r="M39" s="113"/>
      <c r="N39" s="113">
        <f>K39/2</f>
        <v>19790914.5</v>
      </c>
      <c r="O39" s="113">
        <f>K39-N39</f>
        <v>19790914.5</v>
      </c>
      <c r="P39" s="127"/>
      <c r="Q39" s="2"/>
      <c r="R39" s="1"/>
      <c r="S39" s="1"/>
      <c r="T39" s="2"/>
      <c r="V39">
        <v>12990</v>
      </c>
    </row>
    <row r="40" spans="1:22">
      <c r="A40" s="53" t="s">
        <v>59</v>
      </c>
      <c r="B40" s="26" t="s">
        <v>22</v>
      </c>
      <c r="C40" s="26" t="s">
        <v>22</v>
      </c>
      <c r="D40" s="25">
        <f>445+160</f>
        <v>605</v>
      </c>
      <c r="E40" s="8">
        <v>4</v>
      </c>
      <c r="F40" s="26" t="s">
        <v>22</v>
      </c>
      <c r="G40" s="36" t="s">
        <v>45</v>
      </c>
      <c r="H40" s="17"/>
      <c r="I40" s="58"/>
      <c r="J40" s="61">
        <f t="shared" si="4"/>
        <v>16789.5</v>
      </c>
      <c r="K40" s="65">
        <f t="shared" si="5"/>
        <v>10157647.5</v>
      </c>
      <c r="L40" s="101" t="s">
        <v>56</v>
      </c>
      <c r="M40" s="113">
        <f>K40/4</f>
        <v>2539411.875</v>
      </c>
      <c r="N40" s="113">
        <f>K40/4</f>
        <v>2539411.875</v>
      </c>
      <c r="O40" s="113">
        <f>K40-M40-N40</f>
        <v>5078823.75</v>
      </c>
      <c r="P40" s="127"/>
      <c r="Q40" s="2"/>
      <c r="R40" s="1"/>
      <c r="S40" s="1"/>
      <c r="T40" s="2"/>
      <c r="V40">
        <v>15990</v>
      </c>
    </row>
    <row r="41" spans="1:22">
      <c r="A41" s="53" t="s">
        <v>60</v>
      </c>
      <c r="B41" s="26" t="s">
        <v>22</v>
      </c>
      <c r="C41" s="26" t="s">
        <v>22</v>
      </c>
      <c r="D41" s="25">
        <f>1926+112</f>
        <v>2038</v>
      </c>
      <c r="E41" s="8">
        <v>2.5</v>
      </c>
      <c r="F41" s="26" t="s">
        <v>22</v>
      </c>
      <c r="G41" s="36" t="s">
        <v>61</v>
      </c>
      <c r="H41" s="17"/>
      <c r="I41" s="58"/>
      <c r="J41" s="61">
        <f t="shared" si="4"/>
        <v>3097.5</v>
      </c>
      <c r="K41" s="65">
        <f t="shared" si="5"/>
        <v>6312705</v>
      </c>
      <c r="L41" s="101"/>
      <c r="M41" s="113">
        <f t="shared" ref="M41:M42" si="6">K41/4</f>
        <v>1578176.25</v>
      </c>
      <c r="N41" s="113">
        <f t="shared" ref="N41:N42" si="7">K41/4</f>
        <v>1578176.25</v>
      </c>
      <c r="O41" s="113">
        <f t="shared" ref="O41:O42" si="8">K41-M41-N41</f>
        <v>3156352.5</v>
      </c>
      <c r="P41" s="127"/>
      <c r="Q41" s="2"/>
      <c r="R41" s="1"/>
      <c r="S41" s="1"/>
      <c r="T41" s="2"/>
      <c r="V41">
        <v>2950</v>
      </c>
    </row>
    <row r="42" spans="1:22">
      <c r="A42" s="53" t="s">
        <v>62</v>
      </c>
      <c r="B42" s="26" t="s">
        <v>22</v>
      </c>
      <c r="C42" s="26" t="s">
        <v>22</v>
      </c>
      <c r="D42" s="25">
        <f>92+368+143+522</f>
        <v>1125</v>
      </c>
      <c r="E42" s="8">
        <v>2.5</v>
      </c>
      <c r="F42" s="26" t="s">
        <v>22</v>
      </c>
      <c r="G42" s="37" t="s">
        <v>61</v>
      </c>
      <c r="H42" s="18"/>
      <c r="I42" s="58"/>
      <c r="J42" s="61">
        <f t="shared" si="4"/>
        <v>3990</v>
      </c>
      <c r="K42" s="65">
        <f t="shared" si="5"/>
        <v>4488750</v>
      </c>
      <c r="L42" s="101"/>
      <c r="M42" s="113">
        <f t="shared" si="6"/>
        <v>1122187.5</v>
      </c>
      <c r="N42" s="113">
        <f t="shared" si="7"/>
        <v>1122187.5</v>
      </c>
      <c r="O42" s="113">
        <f t="shared" si="8"/>
        <v>2244375</v>
      </c>
      <c r="P42" s="127"/>
      <c r="Q42" s="2"/>
      <c r="R42" s="1"/>
      <c r="S42" s="1"/>
      <c r="T42" s="2"/>
      <c r="V42">
        <v>3800</v>
      </c>
    </row>
    <row r="43" spans="1:22" ht="27">
      <c r="A43" s="53" t="s">
        <v>63</v>
      </c>
      <c r="B43" s="34" t="s">
        <v>22</v>
      </c>
      <c r="C43" s="34" t="s">
        <v>22</v>
      </c>
      <c r="D43" s="38">
        <f>222+216+288+57+66+68+455</f>
        <v>1372</v>
      </c>
      <c r="E43" s="33">
        <v>2</v>
      </c>
      <c r="F43" s="34" t="s">
        <v>22</v>
      </c>
      <c r="G43" s="35" t="s">
        <v>64</v>
      </c>
      <c r="H43" s="19"/>
      <c r="I43" s="58"/>
      <c r="J43" s="61">
        <f t="shared" si="4"/>
        <v>3932.25</v>
      </c>
      <c r="K43" s="65">
        <f t="shared" si="5"/>
        <v>5395047</v>
      </c>
      <c r="L43" s="101"/>
      <c r="M43" s="113">
        <f t="shared" ref="M43" si="9">K43/4</f>
        <v>1348761.75</v>
      </c>
      <c r="N43" s="113">
        <f t="shared" ref="N43" si="10">K43/4</f>
        <v>1348761.75</v>
      </c>
      <c r="O43" s="113">
        <f t="shared" ref="O43" si="11">K43-M43-N43</f>
        <v>2697523.5</v>
      </c>
      <c r="P43" s="127"/>
      <c r="Q43" s="2"/>
      <c r="R43" s="22" t="s">
        <v>65</v>
      </c>
      <c r="S43" s="25">
        <f>900+210+210+670+2380+422+885+662+144+522+1401</f>
        <v>8406</v>
      </c>
      <c r="T43" s="8">
        <v>4</v>
      </c>
      <c r="V43">
        <v>3745</v>
      </c>
    </row>
    <row r="44" spans="1:22">
      <c r="A44" s="53" t="s">
        <v>66</v>
      </c>
      <c r="B44" s="26" t="s">
        <v>22</v>
      </c>
      <c r="C44" s="26" t="s">
        <v>22</v>
      </c>
      <c r="D44" s="38">
        <f>485+120+110+235+60+60</f>
        <v>1070</v>
      </c>
      <c r="E44" s="39" t="s">
        <v>67</v>
      </c>
      <c r="F44" s="26" t="s">
        <v>22</v>
      </c>
      <c r="G44" s="40" t="s">
        <v>68</v>
      </c>
      <c r="H44" s="19"/>
      <c r="I44" s="58"/>
      <c r="J44" s="61">
        <f t="shared" si="4"/>
        <v>15666</v>
      </c>
      <c r="K44" s="65">
        <f t="shared" si="5"/>
        <v>16762620</v>
      </c>
      <c r="L44" s="101"/>
      <c r="M44" s="113">
        <f>K44/4</f>
        <v>4190655</v>
      </c>
      <c r="N44" s="113">
        <f>K44/4</f>
        <v>4190655</v>
      </c>
      <c r="O44" s="113">
        <f>K44-M44-N44</f>
        <v>8381310</v>
      </c>
      <c r="P44" s="127"/>
      <c r="Q44" s="2"/>
      <c r="R44" s="22" t="s">
        <v>69</v>
      </c>
      <c r="S44" s="25">
        <f>103+925+583+160+170+445+440+2120+72</f>
        <v>5018</v>
      </c>
      <c r="T44" s="8">
        <v>4</v>
      </c>
      <c r="V44">
        <v>14920</v>
      </c>
    </row>
    <row r="45" spans="1:22">
      <c r="A45" s="53" t="s">
        <v>70</v>
      </c>
      <c r="B45" s="26" t="s">
        <v>22</v>
      </c>
      <c r="C45" s="26" t="s">
        <v>22</v>
      </c>
      <c r="D45" s="10">
        <f>630</f>
        <v>630</v>
      </c>
      <c r="E45" s="10">
        <v>6</v>
      </c>
      <c r="F45" s="26" t="s">
        <v>22</v>
      </c>
      <c r="G45" s="41" t="s">
        <v>45</v>
      </c>
      <c r="H45" s="19"/>
      <c r="I45" s="58"/>
      <c r="J45" s="61">
        <f t="shared" si="4"/>
        <v>22312.5</v>
      </c>
      <c r="K45" s="65">
        <f t="shared" si="5"/>
        <v>14056875</v>
      </c>
      <c r="L45" s="101" t="s">
        <v>56</v>
      </c>
      <c r="M45" s="113"/>
      <c r="N45" s="113">
        <f>K45</f>
        <v>14056875</v>
      </c>
      <c r="O45" s="113"/>
      <c r="P45" s="127"/>
      <c r="Q45" s="2"/>
      <c r="R45" s="1"/>
      <c r="S45" s="1"/>
      <c r="T45" s="2"/>
      <c r="V45">
        <v>21250</v>
      </c>
    </row>
    <row r="46" spans="1:22">
      <c r="A46" s="53" t="s">
        <v>71</v>
      </c>
      <c r="B46" s="26" t="s">
        <v>22</v>
      </c>
      <c r="C46" s="26" t="s">
        <v>22</v>
      </c>
      <c r="D46" s="10">
        <v>540</v>
      </c>
      <c r="E46" s="10">
        <v>10.5</v>
      </c>
      <c r="F46" s="26" t="s">
        <v>22</v>
      </c>
      <c r="G46" s="41" t="s">
        <v>72</v>
      </c>
      <c r="H46" s="19"/>
      <c r="I46" s="58"/>
      <c r="J46" s="61">
        <f t="shared" si="4"/>
        <v>28959</v>
      </c>
      <c r="K46" s="65">
        <f t="shared" si="5"/>
        <v>15637860</v>
      </c>
      <c r="L46" s="101" t="s">
        <v>56</v>
      </c>
      <c r="M46" s="113">
        <f>K46</f>
        <v>15637860</v>
      </c>
      <c r="N46" s="113"/>
      <c r="O46" s="113"/>
      <c r="P46" s="127"/>
      <c r="Q46" s="2"/>
      <c r="R46" s="1"/>
      <c r="S46" s="1"/>
      <c r="T46" s="2"/>
      <c r="V46">
        <v>27580</v>
      </c>
    </row>
    <row r="47" spans="1:22">
      <c r="A47" s="51" t="s">
        <v>73</v>
      </c>
      <c r="B47" s="79"/>
      <c r="C47" s="79"/>
      <c r="D47" s="80"/>
      <c r="E47" s="80"/>
      <c r="F47" s="79"/>
      <c r="G47" s="74"/>
      <c r="H47" s="81"/>
      <c r="I47" s="71"/>
      <c r="J47" s="75"/>
      <c r="K47" s="87">
        <f>K48+K49</f>
        <v>18508087.5</v>
      </c>
      <c r="L47" s="105"/>
      <c r="M47" s="117"/>
      <c r="N47" s="117"/>
      <c r="O47" s="117"/>
      <c r="P47" s="131"/>
      <c r="Q47" s="2"/>
      <c r="R47" s="1"/>
      <c r="S47" s="1"/>
      <c r="T47" s="2"/>
    </row>
    <row r="48" spans="1:22">
      <c r="A48" s="54" t="s">
        <v>74</v>
      </c>
      <c r="B48" s="26" t="s">
        <v>22</v>
      </c>
      <c r="C48" s="26" t="s">
        <v>22</v>
      </c>
      <c r="D48" s="42" t="s">
        <v>22</v>
      </c>
      <c r="E48" s="43" t="s">
        <v>22</v>
      </c>
      <c r="F48" s="10">
        <v>450</v>
      </c>
      <c r="G48" s="40" t="s">
        <v>75</v>
      </c>
      <c r="H48" s="19"/>
      <c r="I48" s="58"/>
      <c r="J48" s="61">
        <f>V48*$V$2</f>
        <v>33568.5</v>
      </c>
      <c r="K48" s="65">
        <f>F48*J48</f>
        <v>15105825</v>
      </c>
      <c r="L48" s="101" t="s">
        <v>76</v>
      </c>
      <c r="M48" s="113">
        <f>K48/4</f>
        <v>3776456.25</v>
      </c>
      <c r="N48" s="113">
        <f>K48/4</f>
        <v>3776456.25</v>
      </c>
      <c r="O48" s="113">
        <f>K48-M48-N48</f>
        <v>7552912.5</v>
      </c>
      <c r="P48" s="127"/>
      <c r="Q48" s="2"/>
      <c r="R48" s="1"/>
      <c r="S48" s="1"/>
      <c r="T48" s="2"/>
      <c r="V48">
        <v>31970</v>
      </c>
    </row>
    <row r="49" spans="1:22">
      <c r="A49" s="54" t="s">
        <v>77</v>
      </c>
      <c r="B49" s="26" t="s">
        <v>22</v>
      </c>
      <c r="C49" s="26" t="s">
        <v>22</v>
      </c>
      <c r="D49" s="42" t="s">
        <v>22</v>
      </c>
      <c r="E49" s="43" t="s">
        <v>22</v>
      </c>
      <c r="F49" s="10">
        <v>65</v>
      </c>
      <c r="G49" s="40" t="s">
        <v>78</v>
      </c>
      <c r="H49" s="19"/>
      <c r="I49" s="58"/>
      <c r="J49" s="61">
        <f>V49*$V$2</f>
        <v>52342.5</v>
      </c>
      <c r="K49" s="65">
        <f>F49*J49</f>
        <v>3402262.5</v>
      </c>
      <c r="L49" s="101" t="s">
        <v>79</v>
      </c>
      <c r="M49" s="113">
        <f>K49/2</f>
        <v>1701131.25</v>
      </c>
      <c r="N49" s="113">
        <f>K49-M49</f>
        <v>1701131.25</v>
      </c>
      <c r="O49" s="113"/>
      <c r="P49" s="127"/>
      <c r="Q49" s="2"/>
      <c r="R49" s="1"/>
      <c r="S49" s="1"/>
      <c r="T49" s="2"/>
      <c r="V49">
        <v>49850</v>
      </c>
    </row>
    <row r="50" spans="1:22">
      <c r="A50" s="51" t="s">
        <v>80</v>
      </c>
      <c r="B50" s="82"/>
      <c r="C50" s="82"/>
      <c r="D50" s="83"/>
      <c r="E50" s="83"/>
      <c r="F50" s="80"/>
      <c r="G50" s="84"/>
      <c r="H50" s="81"/>
      <c r="I50" s="71"/>
      <c r="J50" s="75"/>
      <c r="K50" s="87">
        <f>SUM(K51:K64)</f>
        <v>11324323.5</v>
      </c>
      <c r="L50" s="105"/>
      <c r="M50" s="117"/>
      <c r="N50" s="117"/>
      <c r="O50" s="117"/>
      <c r="P50" s="131"/>
      <c r="Q50" s="2"/>
      <c r="R50" s="1"/>
      <c r="S50" s="1"/>
      <c r="T50" s="2"/>
    </row>
    <row r="51" spans="1:22">
      <c r="A51" s="54" t="s">
        <v>81</v>
      </c>
      <c r="B51" s="52" t="s">
        <v>22</v>
      </c>
      <c r="C51" s="43" t="s">
        <v>22</v>
      </c>
      <c r="D51" s="42" t="s">
        <v>22</v>
      </c>
      <c r="E51" s="43" t="s">
        <v>22</v>
      </c>
      <c r="F51" s="10">
        <v>60</v>
      </c>
      <c r="G51" s="40" t="s">
        <v>82</v>
      </c>
      <c r="H51" s="19"/>
      <c r="I51" s="58"/>
      <c r="J51" s="61">
        <f>V51*$V$2</f>
        <v>30817.5</v>
      </c>
      <c r="K51" s="65">
        <f t="shared" ref="K51:K67" si="12">F51*J51</f>
        <v>1849050</v>
      </c>
      <c r="L51" s="101" t="s">
        <v>83</v>
      </c>
      <c r="M51" s="113">
        <f>K51/4</f>
        <v>462262.5</v>
      </c>
      <c r="N51" s="113">
        <f>K51/4</f>
        <v>462262.5</v>
      </c>
      <c r="O51" s="113">
        <f>K51-M51-N51</f>
        <v>924525</v>
      </c>
      <c r="P51" s="127"/>
      <c r="Q51" s="2"/>
      <c r="R51" s="1"/>
      <c r="S51" s="1"/>
      <c r="T51" s="2"/>
      <c r="V51">
        <v>29350</v>
      </c>
    </row>
    <row r="52" spans="1:22">
      <c r="A52" s="54" t="s">
        <v>84</v>
      </c>
      <c r="B52" s="26" t="s">
        <v>22</v>
      </c>
      <c r="C52" s="26" t="s">
        <v>22</v>
      </c>
      <c r="D52" s="42" t="s">
        <v>22</v>
      </c>
      <c r="E52" s="43" t="s">
        <v>22</v>
      </c>
      <c r="F52" s="10">
        <v>25</v>
      </c>
      <c r="G52" s="40" t="s">
        <v>82</v>
      </c>
      <c r="H52" s="19"/>
      <c r="I52" s="58"/>
      <c r="J52" s="61">
        <f t="shared" ref="J52:J64" si="13">V52*$V$2</f>
        <v>120330</v>
      </c>
      <c r="K52" s="65">
        <f t="shared" si="12"/>
        <v>3008250</v>
      </c>
      <c r="L52" s="101" t="s">
        <v>85</v>
      </c>
      <c r="M52" s="113">
        <f t="shared" ref="M52:M53" si="14">K52/4</f>
        <v>752062.5</v>
      </c>
      <c r="N52" s="113">
        <f t="shared" ref="N52:N53" si="15">K52/4</f>
        <v>752062.5</v>
      </c>
      <c r="O52" s="113">
        <f t="shared" ref="O52:O53" si="16">K52-M52-N52</f>
        <v>1504125</v>
      </c>
      <c r="P52" s="127"/>
      <c r="Q52" s="2"/>
      <c r="R52" s="1"/>
      <c r="S52" s="1"/>
      <c r="T52" s="2"/>
      <c r="V52">
        <v>114600</v>
      </c>
    </row>
    <row r="53" spans="1:22">
      <c r="A53" s="54" t="s">
        <v>86</v>
      </c>
      <c r="B53" s="52" t="s">
        <v>22</v>
      </c>
      <c r="C53" s="42" t="s">
        <v>22</v>
      </c>
      <c r="D53" s="42" t="s">
        <v>22</v>
      </c>
      <c r="E53" s="43" t="s">
        <v>22</v>
      </c>
      <c r="F53" s="10">
        <v>22</v>
      </c>
      <c r="G53" s="40" t="s">
        <v>82</v>
      </c>
      <c r="H53" s="19"/>
      <c r="I53" s="58"/>
      <c r="J53" s="61">
        <f t="shared" si="13"/>
        <v>27867</v>
      </c>
      <c r="K53" s="65">
        <f t="shared" si="12"/>
        <v>613074</v>
      </c>
      <c r="L53" s="101" t="s">
        <v>87</v>
      </c>
      <c r="M53" s="113">
        <f t="shared" si="14"/>
        <v>153268.5</v>
      </c>
      <c r="N53" s="113">
        <f t="shared" si="15"/>
        <v>153268.5</v>
      </c>
      <c r="O53" s="113">
        <f t="shared" si="16"/>
        <v>306537</v>
      </c>
      <c r="P53" s="127"/>
      <c r="Q53" s="2"/>
      <c r="R53" s="1"/>
      <c r="S53" s="1"/>
      <c r="T53" s="2"/>
      <c r="V53">
        <v>26540</v>
      </c>
    </row>
    <row r="54" spans="1:22">
      <c r="A54" s="54" t="s">
        <v>88</v>
      </c>
      <c r="B54" s="52" t="s">
        <v>22</v>
      </c>
      <c r="C54" s="42" t="s">
        <v>22</v>
      </c>
      <c r="D54" s="42" t="s">
        <v>22</v>
      </c>
      <c r="E54" s="43" t="s">
        <v>22</v>
      </c>
      <c r="F54" s="10">
        <v>6</v>
      </c>
      <c r="G54" s="40" t="s">
        <v>82</v>
      </c>
      <c r="H54" s="19"/>
      <c r="I54" s="58"/>
      <c r="J54" s="61">
        <f t="shared" si="13"/>
        <v>77584.5</v>
      </c>
      <c r="K54" s="65">
        <f t="shared" si="12"/>
        <v>465507</v>
      </c>
      <c r="L54" s="101" t="s">
        <v>89</v>
      </c>
      <c r="M54" s="113">
        <f>K54/4</f>
        <v>116376.75</v>
      </c>
      <c r="N54" s="113">
        <f>K54/4</f>
        <v>116376.75</v>
      </c>
      <c r="O54" s="113">
        <f>K54-M54-N54</f>
        <v>232753.5</v>
      </c>
      <c r="P54" s="127"/>
      <c r="Q54" s="2"/>
      <c r="R54" s="1"/>
      <c r="S54" s="1"/>
      <c r="T54" s="2"/>
      <c r="V54">
        <v>73890</v>
      </c>
    </row>
    <row r="55" spans="1:22">
      <c r="A55" s="54" t="s">
        <v>90</v>
      </c>
      <c r="B55" s="52" t="s">
        <v>22</v>
      </c>
      <c r="C55" s="42" t="s">
        <v>22</v>
      </c>
      <c r="D55" s="42" t="s">
        <v>22</v>
      </c>
      <c r="E55" s="43" t="s">
        <v>22</v>
      </c>
      <c r="F55" s="10">
        <v>4</v>
      </c>
      <c r="G55" s="40" t="s">
        <v>91</v>
      </c>
      <c r="H55" s="19"/>
      <c r="I55" s="58"/>
      <c r="J55" s="61">
        <f t="shared" si="13"/>
        <v>401625</v>
      </c>
      <c r="K55" s="65">
        <f t="shared" si="12"/>
        <v>1606500</v>
      </c>
      <c r="L55" s="101" t="s">
        <v>92</v>
      </c>
      <c r="M55" s="113">
        <f>K55/4</f>
        <v>401625</v>
      </c>
      <c r="N55" s="113">
        <f>K55/4</f>
        <v>401625</v>
      </c>
      <c r="O55" s="113">
        <f>K55-M55-N55</f>
        <v>803250</v>
      </c>
      <c r="P55" s="127"/>
      <c r="Q55" s="2"/>
      <c r="R55" s="1"/>
      <c r="S55" s="1"/>
      <c r="T55" s="2"/>
      <c r="V55">
        <v>382500</v>
      </c>
    </row>
    <row r="56" spans="1:22">
      <c r="A56" s="54" t="s">
        <v>93</v>
      </c>
      <c r="B56" s="52"/>
      <c r="C56" s="42"/>
      <c r="D56" s="44"/>
      <c r="E56" s="44"/>
      <c r="F56" s="10"/>
      <c r="G56" s="40"/>
      <c r="H56" s="19"/>
      <c r="I56" s="58"/>
      <c r="J56" s="61">
        <f t="shared" si="13"/>
        <v>0</v>
      </c>
      <c r="K56" s="65"/>
      <c r="L56" s="101" t="s">
        <v>94</v>
      </c>
      <c r="M56" s="113"/>
      <c r="N56" s="113"/>
      <c r="O56" s="113"/>
      <c r="P56" s="127"/>
      <c r="Q56" s="2"/>
      <c r="R56" s="1"/>
      <c r="S56" s="1"/>
      <c r="T56" s="2"/>
    </row>
    <row r="57" spans="1:22">
      <c r="A57" s="15" t="s">
        <v>95</v>
      </c>
      <c r="B57" s="52" t="s">
        <v>22</v>
      </c>
      <c r="C57" s="42" t="s">
        <v>22</v>
      </c>
      <c r="D57" s="42" t="s">
        <v>22</v>
      </c>
      <c r="E57" s="43" t="s">
        <v>22</v>
      </c>
      <c r="F57" s="10">
        <v>2</v>
      </c>
      <c r="G57" s="40" t="s">
        <v>96</v>
      </c>
      <c r="H57" s="19"/>
      <c r="I57" s="58"/>
      <c r="J57" s="61">
        <f t="shared" si="13"/>
        <v>36750</v>
      </c>
      <c r="K57" s="65">
        <f t="shared" si="12"/>
        <v>73500</v>
      </c>
      <c r="L57" s="101" t="s">
        <v>97</v>
      </c>
      <c r="M57" s="113">
        <f>K57</f>
        <v>73500</v>
      </c>
      <c r="N57" s="113"/>
      <c r="O57" s="113"/>
      <c r="P57" s="127"/>
      <c r="Q57" s="2"/>
      <c r="R57" s="1"/>
      <c r="S57" s="1"/>
      <c r="T57" s="2"/>
      <c r="V57">
        <v>35000</v>
      </c>
    </row>
    <row r="58" spans="1:22">
      <c r="A58" s="15" t="s">
        <v>98</v>
      </c>
      <c r="B58" s="52" t="s">
        <v>22</v>
      </c>
      <c r="C58" s="42" t="s">
        <v>22</v>
      </c>
      <c r="D58" s="42" t="s">
        <v>22</v>
      </c>
      <c r="E58" s="43" t="s">
        <v>22</v>
      </c>
      <c r="F58" s="10">
        <v>2</v>
      </c>
      <c r="G58" s="40" t="s">
        <v>99</v>
      </c>
      <c r="H58" s="19"/>
      <c r="I58" s="58"/>
      <c r="J58" s="61">
        <f t="shared" si="13"/>
        <v>262500</v>
      </c>
      <c r="K58" s="65">
        <f t="shared" si="12"/>
        <v>525000</v>
      </c>
      <c r="L58" s="101" t="s">
        <v>100</v>
      </c>
      <c r="M58" s="113">
        <f t="shared" ref="M58:M59" si="17">K58</f>
        <v>525000</v>
      </c>
      <c r="N58" s="113"/>
      <c r="O58" s="113"/>
      <c r="P58" s="127"/>
      <c r="Q58" s="2"/>
      <c r="R58" s="1"/>
      <c r="S58" s="1"/>
      <c r="T58" s="2"/>
      <c r="V58">
        <v>250000</v>
      </c>
    </row>
    <row r="59" spans="1:22">
      <c r="A59" s="15" t="s">
        <v>101</v>
      </c>
      <c r="B59" s="52" t="s">
        <v>22</v>
      </c>
      <c r="C59" s="42" t="s">
        <v>22</v>
      </c>
      <c r="D59" s="42" t="s">
        <v>22</v>
      </c>
      <c r="E59" s="43" t="s">
        <v>22</v>
      </c>
      <c r="F59" s="10">
        <v>1</v>
      </c>
      <c r="G59" s="40" t="s">
        <v>102</v>
      </c>
      <c r="H59" s="19"/>
      <c r="I59" s="58"/>
      <c r="J59" s="61">
        <f t="shared" si="13"/>
        <v>62317.5</v>
      </c>
      <c r="K59" s="65">
        <f t="shared" si="12"/>
        <v>62317.5</v>
      </c>
      <c r="L59" s="101" t="s">
        <v>103</v>
      </c>
      <c r="M59" s="113">
        <f t="shared" si="17"/>
        <v>62317.5</v>
      </c>
      <c r="N59" s="113"/>
      <c r="O59" s="113"/>
      <c r="P59" s="127"/>
      <c r="Q59" s="2"/>
      <c r="R59" s="1"/>
      <c r="S59" s="1"/>
      <c r="T59" s="2"/>
      <c r="V59">
        <v>59350</v>
      </c>
    </row>
    <row r="60" spans="1:22">
      <c r="A60" s="54" t="s">
        <v>104</v>
      </c>
      <c r="B60" s="52">
        <v>18</v>
      </c>
      <c r="C60" s="42" t="s">
        <v>22</v>
      </c>
      <c r="D60" s="42" t="s">
        <v>22</v>
      </c>
      <c r="E60" s="43" t="s">
        <v>22</v>
      </c>
      <c r="F60" s="10">
        <v>8</v>
      </c>
      <c r="G60" s="40" t="s">
        <v>105</v>
      </c>
      <c r="H60" s="19"/>
      <c r="I60" s="58"/>
      <c r="J60" s="61">
        <f t="shared" si="13"/>
        <v>131250</v>
      </c>
      <c r="K60" s="65">
        <f t="shared" si="12"/>
        <v>1050000</v>
      </c>
      <c r="L60" s="101" t="s">
        <v>106</v>
      </c>
      <c r="M60" s="113">
        <f>K60/4</f>
        <v>262500</v>
      </c>
      <c r="N60" s="113">
        <f>K60/4</f>
        <v>262500</v>
      </c>
      <c r="O60" s="113">
        <f>K60-M60-N60</f>
        <v>525000</v>
      </c>
      <c r="P60" s="127"/>
      <c r="Q60" s="2"/>
      <c r="R60" s="1"/>
      <c r="S60" s="1"/>
      <c r="T60" s="2"/>
      <c r="V60">
        <v>125000</v>
      </c>
    </row>
    <row r="61" spans="1:22">
      <c r="A61" s="54" t="s">
        <v>107</v>
      </c>
      <c r="B61" s="52" t="s">
        <v>22</v>
      </c>
      <c r="C61" s="42" t="s">
        <v>22</v>
      </c>
      <c r="D61" s="42" t="s">
        <v>22</v>
      </c>
      <c r="E61" s="43" t="s">
        <v>22</v>
      </c>
      <c r="F61" s="10">
        <v>4</v>
      </c>
      <c r="G61" s="40" t="s">
        <v>105</v>
      </c>
      <c r="H61" s="19"/>
      <c r="I61" s="58"/>
      <c r="J61" s="61">
        <f t="shared" si="13"/>
        <v>204750</v>
      </c>
      <c r="K61" s="65">
        <f t="shared" si="12"/>
        <v>819000</v>
      </c>
      <c r="L61" s="101" t="s">
        <v>108</v>
      </c>
      <c r="M61" s="113">
        <f t="shared" ref="M61:M64" si="18">K61/4</f>
        <v>204750</v>
      </c>
      <c r="N61" s="113">
        <f t="shared" ref="N61:N64" si="19">K61/4</f>
        <v>204750</v>
      </c>
      <c r="O61" s="113">
        <f t="shared" ref="O61:O64" si="20">K61-M61-N61</f>
        <v>409500</v>
      </c>
      <c r="P61" s="127"/>
      <c r="Q61" s="2"/>
      <c r="R61" s="1"/>
      <c r="S61" s="1"/>
      <c r="T61" s="2"/>
      <c r="V61">
        <v>195000</v>
      </c>
    </row>
    <row r="62" spans="1:22">
      <c r="A62" s="54" t="s">
        <v>109</v>
      </c>
      <c r="B62" s="52" t="s">
        <v>22</v>
      </c>
      <c r="C62" s="42" t="s">
        <v>22</v>
      </c>
      <c r="D62" s="42" t="s">
        <v>22</v>
      </c>
      <c r="E62" s="43" t="s">
        <v>22</v>
      </c>
      <c r="F62" s="10">
        <v>5</v>
      </c>
      <c r="G62" s="40" t="s">
        <v>99</v>
      </c>
      <c r="H62" s="19"/>
      <c r="I62" s="58"/>
      <c r="J62" s="61">
        <f t="shared" si="13"/>
        <v>24675</v>
      </c>
      <c r="K62" s="65">
        <f t="shared" si="12"/>
        <v>123375</v>
      </c>
      <c r="L62" s="101" t="s">
        <v>110</v>
      </c>
      <c r="M62" s="113">
        <f t="shared" si="18"/>
        <v>30843.75</v>
      </c>
      <c r="N62" s="113">
        <f t="shared" si="19"/>
        <v>30843.75</v>
      </c>
      <c r="O62" s="113">
        <f t="shared" si="20"/>
        <v>61687.5</v>
      </c>
      <c r="P62" s="127"/>
      <c r="Q62" s="2"/>
      <c r="R62" s="1"/>
      <c r="S62" s="1"/>
      <c r="T62" s="2"/>
      <c r="V62">
        <v>23500</v>
      </c>
    </row>
    <row r="63" spans="1:22">
      <c r="A63" s="54" t="s">
        <v>111</v>
      </c>
      <c r="B63" s="52" t="s">
        <v>22</v>
      </c>
      <c r="C63" s="42" t="s">
        <v>22</v>
      </c>
      <c r="D63" s="42" t="s">
        <v>22</v>
      </c>
      <c r="E63" s="43" t="s">
        <v>22</v>
      </c>
      <c r="F63" s="10">
        <v>5</v>
      </c>
      <c r="G63" s="40" t="s">
        <v>112</v>
      </c>
      <c r="H63" s="19"/>
      <c r="I63" s="58"/>
      <c r="J63" s="61">
        <f t="shared" si="13"/>
        <v>78750</v>
      </c>
      <c r="K63" s="65">
        <f t="shared" si="12"/>
        <v>393750</v>
      </c>
      <c r="L63" s="101" t="s">
        <v>97</v>
      </c>
      <c r="M63" s="113">
        <f t="shared" si="18"/>
        <v>98437.5</v>
      </c>
      <c r="N63" s="113">
        <f t="shared" si="19"/>
        <v>98437.5</v>
      </c>
      <c r="O63" s="113">
        <f t="shared" si="20"/>
        <v>196875</v>
      </c>
      <c r="P63" s="127"/>
      <c r="Q63" s="2"/>
      <c r="R63" s="1"/>
      <c r="S63" s="1"/>
      <c r="T63" s="2"/>
      <c r="V63">
        <v>75000</v>
      </c>
    </row>
    <row r="64" spans="1:22">
      <c r="A64" s="54" t="s">
        <v>113</v>
      </c>
      <c r="B64" s="52" t="s">
        <v>22</v>
      </c>
      <c r="C64" s="42" t="s">
        <v>22</v>
      </c>
      <c r="D64" s="42" t="s">
        <v>22</v>
      </c>
      <c r="E64" s="43" t="s">
        <v>22</v>
      </c>
      <c r="F64" s="10">
        <v>40</v>
      </c>
      <c r="G64" s="40" t="s">
        <v>82</v>
      </c>
      <c r="H64" s="19"/>
      <c r="I64" s="58"/>
      <c r="J64" s="61">
        <f t="shared" si="13"/>
        <v>18375</v>
      </c>
      <c r="K64" s="65">
        <f t="shared" si="12"/>
        <v>735000</v>
      </c>
      <c r="L64" s="101" t="s">
        <v>114</v>
      </c>
      <c r="M64" s="113">
        <f t="shared" si="18"/>
        <v>183750</v>
      </c>
      <c r="N64" s="113">
        <f t="shared" si="19"/>
        <v>183750</v>
      </c>
      <c r="O64" s="113">
        <f t="shared" si="20"/>
        <v>367500</v>
      </c>
      <c r="P64" s="127"/>
      <c r="Q64" s="2"/>
      <c r="R64" s="1"/>
      <c r="S64" s="1"/>
      <c r="T64" s="2"/>
      <c r="V64">
        <v>17500</v>
      </c>
    </row>
    <row r="65" spans="1:22">
      <c r="A65" s="51" t="s">
        <v>115</v>
      </c>
      <c r="B65" s="83"/>
      <c r="C65" s="83"/>
      <c r="D65" s="83"/>
      <c r="E65" s="83"/>
      <c r="F65" s="80"/>
      <c r="G65" s="84"/>
      <c r="H65" s="81"/>
      <c r="I65" s="71"/>
      <c r="J65" s="75"/>
      <c r="K65" s="87">
        <f>SUM(K66:K73)</f>
        <v>100481619.998</v>
      </c>
      <c r="L65" s="105"/>
      <c r="M65" s="117"/>
      <c r="N65" s="117"/>
      <c r="O65" s="117"/>
      <c r="P65" s="131"/>
      <c r="Q65" s="2"/>
      <c r="R65" s="1"/>
      <c r="S65" s="1"/>
      <c r="T65" s="2"/>
    </row>
    <row r="66" spans="1:22">
      <c r="A66" s="54" t="s">
        <v>116</v>
      </c>
      <c r="B66" s="10" t="s">
        <v>22</v>
      </c>
      <c r="C66" s="10" t="s">
        <v>22</v>
      </c>
      <c r="D66" s="10" t="s">
        <v>22</v>
      </c>
      <c r="E66" s="10" t="s">
        <v>22</v>
      </c>
      <c r="F66" s="10">
        <v>16</v>
      </c>
      <c r="G66" s="40" t="s">
        <v>117</v>
      </c>
      <c r="H66" s="19"/>
      <c r="I66" s="58"/>
      <c r="J66" s="61">
        <f>V66*$V$2</f>
        <v>203148.75</v>
      </c>
      <c r="K66" s="65">
        <f t="shared" si="12"/>
        <v>3250380</v>
      </c>
      <c r="L66" s="101" t="s">
        <v>118</v>
      </c>
      <c r="M66" s="113">
        <f>K66/2</f>
        <v>1625190</v>
      </c>
      <c r="N66" s="113">
        <f>K66-M66</f>
        <v>1625190</v>
      </c>
      <c r="O66" s="113"/>
      <c r="P66" s="127"/>
      <c r="Q66" s="2"/>
      <c r="R66" s="1"/>
      <c r="S66" s="1"/>
      <c r="T66" s="2"/>
      <c r="V66">
        <v>193475</v>
      </c>
    </row>
    <row r="67" spans="1:22">
      <c r="A67" s="54" t="s">
        <v>119</v>
      </c>
      <c r="B67" s="43">
        <v>12</v>
      </c>
      <c r="C67" s="10" t="s">
        <v>22</v>
      </c>
      <c r="D67" s="10" t="s">
        <v>22</v>
      </c>
      <c r="E67" s="10" t="s">
        <v>22</v>
      </c>
      <c r="F67" s="10">
        <v>2</v>
      </c>
      <c r="G67" s="10"/>
      <c r="H67" s="19"/>
      <c r="I67" s="58"/>
      <c r="J67" s="61">
        <f t="shared" ref="J67:J73" si="21">V67*$V$2</f>
        <v>6562500</v>
      </c>
      <c r="K67" s="65">
        <f t="shared" si="12"/>
        <v>13125000</v>
      </c>
      <c r="L67" s="101" t="s">
        <v>120</v>
      </c>
      <c r="M67" s="113">
        <f>K67/2</f>
        <v>6562500</v>
      </c>
      <c r="N67" s="113">
        <f>K67-M67</f>
        <v>6562500</v>
      </c>
      <c r="O67" s="113"/>
      <c r="P67" s="127"/>
      <c r="Q67" s="2"/>
      <c r="R67" s="1"/>
      <c r="S67" s="1"/>
      <c r="T67" s="2"/>
      <c r="V67">
        <v>6250000</v>
      </c>
    </row>
    <row r="68" spans="1:22">
      <c r="A68" s="54" t="s">
        <v>121</v>
      </c>
      <c r="B68" s="10" t="s">
        <v>22</v>
      </c>
      <c r="C68" s="10" t="s">
        <v>22</v>
      </c>
      <c r="D68" s="10">
        <v>2100</v>
      </c>
      <c r="E68" s="10" t="s">
        <v>22</v>
      </c>
      <c r="F68" s="10" t="s">
        <v>22</v>
      </c>
      <c r="G68" s="10"/>
      <c r="H68" s="19"/>
      <c r="I68" s="58"/>
      <c r="J68" s="61">
        <f t="shared" si="21"/>
        <v>22470</v>
      </c>
      <c r="K68" s="65">
        <f>D68*J68</f>
        <v>47187000</v>
      </c>
      <c r="L68" s="101" t="s">
        <v>122</v>
      </c>
      <c r="M68" s="113">
        <f>K68/2</f>
        <v>23593500</v>
      </c>
      <c r="N68" s="113">
        <f>K68-M68</f>
        <v>23593500</v>
      </c>
      <c r="O68" s="113"/>
      <c r="P68" s="127"/>
      <c r="Q68" s="2"/>
      <c r="R68" s="1"/>
      <c r="S68" s="1"/>
      <c r="T68" s="2"/>
      <c r="V68">
        <v>21400</v>
      </c>
    </row>
    <row r="69" spans="1:22">
      <c r="A69" s="54" t="s">
        <v>123</v>
      </c>
      <c r="B69" s="10" t="s">
        <v>22</v>
      </c>
      <c r="C69" s="10" t="s">
        <v>22</v>
      </c>
      <c r="D69" s="10">
        <v>2100</v>
      </c>
      <c r="E69" s="10" t="s">
        <v>22</v>
      </c>
      <c r="F69" s="10" t="s">
        <v>22</v>
      </c>
      <c r="G69" s="10"/>
      <c r="H69" s="19"/>
      <c r="I69" s="58"/>
      <c r="J69" s="61">
        <f t="shared" si="21"/>
        <v>3622.5</v>
      </c>
      <c r="K69" s="65">
        <f t="shared" ref="K69:K71" si="22">D69*J69</f>
        <v>7607250</v>
      </c>
      <c r="L69" s="101"/>
      <c r="M69" s="113">
        <f t="shared" ref="M69:M70" si="23">K69/2</f>
        <v>3803625</v>
      </c>
      <c r="N69" s="113">
        <f t="shared" ref="N69:N70" si="24">K69-M69</f>
        <v>3803625</v>
      </c>
      <c r="O69" s="113"/>
      <c r="P69" s="127"/>
      <c r="Q69" s="2"/>
      <c r="R69" s="1"/>
      <c r="S69" s="1"/>
      <c r="T69" s="2"/>
      <c r="V69">
        <v>3450</v>
      </c>
    </row>
    <row r="70" spans="1:22">
      <c r="A70" s="55" t="s">
        <v>124</v>
      </c>
      <c r="B70" s="10" t="s">
        <v>22</v>
      </c>
      <c r="C70" s="10" t="s">
        <v>22</v>
      </c>
      <c r="D70" s="10">
        <v>2000</v>
      </c>
      <c r="E70" s="10" t="s">
        <v>22</v>
      </c>
      <c r="F70" s="10" t="s">
        <v>22</v>
      </c>
      <c r="G70" s="11"/>
      <c r="H70" s="20"/>
      <c r="I70" s="58"/>
      <c r="J70" s="61">
        <f t="shared" si="21"/>
        <v>9418.5</v>
      </c>
      <c r="K70" s="65">
        <f t="shared" si="22"/>
        <v>18837000</v>
      </c>
      <c r="L70" s="101" t="s">
        <v>125</v>
      </c>
      <c r="M70" s="113">
        <f t="shared" si="23"/>
        <v>9418500</v>
      </c>
      <c r="N70" s="113">
        <f t="shared" si="24"/>
        <v>9418500</v>
      </c>
      <c r="O70" s="113"/>
      <c r="P70" s="127"/>
      <c r="Q70" s="2"/>
      <c r="R70" s="1"/>
      <c r="S70" s="1"/>
      <c r="T70" s="2"/>
      <c r="V70">
        <v>8970</v>
      </c>
    </row>
    <row r="71" spans="1:22">
      <c r="A71" s="55" t="s">
        <v>126</v>
      </c>
      <c r="B71" s="90" t="s">
        <v>22</v>
      </c>
      <c r="C71" s="11" t="s">
        <v>22</v>
      </c>
      <c r="D71" s="11">
        <v>1000</v>
      </c>
      <c r="E71" s="11" t="s">
        <v>22</v>
      </c>
      <c r="F71" s="11" t="s">
        <v>22</v>
      </c>
      <c r="G71" s="11"/>
      <c r="H71" s="20"/>
      <c r="I71" s="58"/>
      <c r="J71" s="61">
        <f t="shared" si="21"/>
        <v>7875</v>
      </c>
      <c r="K71" s="65">
        <f t="shared" si="22"/>
        <v>7875000</v>
      </c>
      <c r="L71" s="101" t="s">
        <v>127</v>
      </c>
      <c r="M71" s="113">
        <f t="shared" ref="M71:M73" si="25">K71/2</f>
        <v>3937500</v>
      </c>
      <c r="N71" s="113">
        <f t="shared" ref="N71:N73" si="26">K71-M71</f>
        <v>3937500</v>
      </c>
      <c r="O71" s="113"/>
      <c r="P71" s="127"/>
      <c r="Q71" s="2"/>
      <c r="R71" s="1"/>
      <c r="S71" s="1"/>
      <c r="T71" s="2"/>
      <c r="V71">
        <v>7500</v>
      </c>
    </row>
    <row r="72" spans="1:22">
      <c r="A72" s="55" t="s">
        <v>128</v>
      </c>
      <c r="B72" s="90" t="s">
        <v>22</v>
      </c>
      <c r="C72" s="11" t="s">
        <v>22</v>
      </c>
      <c r="D72" s="11" t="s">
        <v>22</v>
      </c>
      <c r="E72" s="11" t="s">
        <v>22</v>
      </c>
      <c r="F72" s="11">
        <v>2</v>
      </c>
      <c r="G72" s="11" t="s">
        <v>129</v>
      </c>
      <c r="H72" s="20"/>
      <c r="I72" s="91"/>
      <c r="J72" s="61">
        <f t="shared" si="21"/>
        <v>799995</v>
      </c>
      <c r="K72" s="92">
        <f>F72*J72</f>
        <v>1599990</v>
      </c>
      <c r="L72" s="106"/>
      <c r="M72" s="113">
        <f t="shared" si="25"/>
        <v>799995</v>
      </c>
      <c r="N72" s="113">
        <f t="shared" si="26"/>
        <v>799995</v>
      </c>
      <c r="O72" s="113"/>
      <c r="P72" s="127"/>
      <c r="Q72" s="2"/>
      <c r="R72" s="1"/>
      <c r="S72" s="1"/>
      <c r="T72" s="2"/>
      <c r="V72">
        <v>761900</v>
      </c>
    </row>
    <row r="73" spans="1:22" ht="15" thickBot="1">
      <c r="A73" s="54" t="s">
        <v>130</v>
      </c>
      <c r="B73" s="10" t="s">
        <v>22</v>
      </c>
      <c r="C73" s="10" t="s">
        <v>22</v>
      </c>
      <c r="D73" s="10" t="s">
        <v>22</v>
      </c>
      <c r="E73" s="10" t="s">
        <v>22</v>
      </c>
      <c r="F73" s="10">
        <v>2</v>
      </c>
      <c r="G73" s="10" t="s">
        <v>131</v>
      </c>
      <c r="H73" s="19"/>
      <c r="I73" s="93"/>
      <c r="J73" s="61">
        <f t="shared" si="21"/>
        <v>500000.00400000002</v>
      </c>
      <c r="K73" s="94">
        <f>F73*J73-0.01</f>
        <v>999999.99800000002</v>
      </c>
      <c r="L73" s="106"/>
      <c r="M73" s="113">
        <f t="shared" si="25"/>
        <v>499999.99900000001</v>
      </c>
      <c r="N73" s="113">
        <f t="shared" si="26"/>
        <v>499999.99900000001</v>
      </c>
      <c r="O73" s="113"/>
      <c r="P73" s="127"/>
      <c r="Q73" s="2"/>
      <c r="R73" s="1"/>
      <c r="S73" s="1"/>
      <c r="T73" s="2"/>
      <c r="V73">
        <v>476190.48</v>
      </c>
    </row>
    <row r="74" spans="1:22" ht="18.75" customHeight="1" thickTop="1" thickBot="1">
      <c r="A74" s="45"/>
      <c r="B74" s="46"/>
      <c r="C74" s="46"/>
      <c r="D74" s="46"/>
      <c r="E74" s="46"/>
      <c r="F74" s="46"/>
      <c r="G74" s="46"/>
      <c r="H74" s="46"/>
      <c r="I74" s="59">
        <f>SUM(I6:I71)</f>
        <v>0</v>
      </c>
      <c r="J74" s="62"/>
      <c r="K74" s="88">
        <f>K5+K17+K18+K23+K35+K36+K47+K50+K65</f>
        <v>503613254.04799998</v>
      </c>
      <c r="L74" s="107"/>
      <c r="M74" s="88">
        <f>SUM(M5:M73)</f>
        <v>160666946.449</v>
      </c>
      <c r="N74" s="88">
        <f>SUM(N5:N73)</f>
        <v>167412529.699</v>
      </c>
      <c r="O74" s="88">
        <f>SUM(O5:O73)</f>
        <v>148701204.75</v>
      </c>
      <c r="P74" s="88">
        <f>SUM(P5:P73)</f>
        <v>12761073.149999999</v>
      </c>
    </row>
    <row r="75" spans="1:22">
      <c r="K75" s="96">
        <f>K74</f>
        <v>503613254.04799998</v>
      </c>
    </row>
    <row r="76" spans="1:22">
      <c r="A76" s="56" t="s">
        <v>132</v>
      </c>
      <c r="K76">
        <f>K74*0.05</f>
        <v>25180662.702399999</v>
      </c>
      <c r="M76" s="120">
        <f>M74*0.05</f>
        <v>8033347.3224500008</v>
      </c>
      <c r="N76" s="120">
        <f t="shared" ref="N76:O76" si="27">N74*0.05</f>
        <v>8370626.4849500004</v>
      </c>
      <c r="O76" s="120">
        <f t="shared" si="27"/>
        <v>7435060.2375000007</v>
      </c>
      <c r="P76" s="120"/>
    </row>
    <row r="77" spans="1:22">
      <c r="K77">
        <v>25000000</v>
      </c>
      <c r="M77" s="120">
        <f>M76/K76*K77</f>
        <v>7975710.7838988025</v>
      </c>
      <c r="N77" s="120">
        <f>N76/K76*K77</f>
        <v>8310570.0829630923</v>
      </c>
      <c r="O77" s="120">
        <f>O76/K76*K77</f>
        <v>7381716.205578018</v>
      </c>
      <c r="P77" s="120"/>
    </row>
    <row r="78" spans="1:22">
      <c r="K78" s="121">
        <f>K75+K77</f>
        <v>528613254.04799998</v>
      </c>
      <c r="M78" s="121">
        <f>M74+M77</f>
        <v>168642657.2328988</v>
      </c>
      <c r="N78" s="121">
        <f t="shared" ref="N78:O78" si="28">N74+N77</f>
        <v>175723099.78196308</v>
      </c>
      <c r="O78" s="121">
        <f t="shared" si="28"/>
        <v>156082920.95557803</v>
      </c>
      <c r="P78" s="121"/>
    </row>
    <row r="81" spans="1:7">
      <c r="A81" s="16"/>
    </row>
    <row r="82" spans="1:7">
      <c r="A82" s="16"/>
    </row>
    <row r="90" spans="1:7">
      <c r="G90" s="9"/>
    </row>
  </sheetData>
  <mergeCells count="2">
    <mergeCell ref="A3:A4"/>
    <mergeCell ref="T3:T4"/>
  </mergeCells>
  <phoneticPr fontId="6" type="noConversion"/>
  <pageMargins left="0.25" right="0.25" top="0.75" bottom="0.75" header="0.3" footer="0.3"/>
  <pageSetup paperSize="9" scale="3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5D25207D9CB5F47BB840BC03FE33EC0" ma:contentTypeVersion="17" ma:contentTypeDescription="Vytvoří nový dokument" ma:contentTypeScope="" ma:versionID="042e324942afdfd220b0ecb136225e60">
  <xsd:schema xmlns:xsd="http://www.w3.org/2001/XMLSchema" xmlns:xs="http://www.w3.org/2001/XMLSchema" xmlns:p="http://schemas.microsoft.com/office/2006/metadata/properties" xmlns:ns2="25a60328-d424-4038-b1cd-542a28166fcf" xmlns:ns3="958b37d7-bdd4-46cf-9f1f-554a87a46a8b" targetNamespace="http://schemas.microsoft.com/office/2006/metadata/properties" ma:root="true" ma:fieldsID="7ddd28d8c86ef2ecc49db1c3fdf7cb45" ns2:_="" ns3:_="">
    <xsd:import namespace="25a60328-d424-4038-b1cd-542a28166fcf"/>
    <xsd:import namespace="958b37d7-bdd4-46cf-9f1f-554a87a46a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60328-d424-4038-b1cd-542a28166f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4c754194-2c82-416b-8a1a-ba57b9bc2f5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8b37d7-bdd4-46cf-9f1f-554a87a46a8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24e748f-f904-4d24-959f-84dc55126cc3}" ma:internalName="TaxCatchAll" ma:showField="CatchAllData" ma:web="958b37d7-bdd4-46cf-9f1f-554a87a46a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a60328-d424-4038-b1cd-542a28166fcf">
      <Terms xmlns="http://schemas.microsoft.com/office/infopath/2007/PartnerControls"/>
    </lcf76f155ced4ddcb4097134ff3c332f>
    <TaxCatchAll xmlns="958b37d7-bdd4-46cf-9f1f-554a87a46a8b" xsi:nil="true"/>
    <SharedWithUsers xmlns="958b37d7-bdd4-46cf-9f1f-554a87a46a8b">
      <UserInfo>
        <DisplayName>Alena Jechová</DisplayName>
        <AccountId>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144FCC6-43D2-42AA-BDF9-E87F11A0E094}"/>
</file>

<file path=customXml/itemProps2.xml><?xml version="1.0" encoding="utf-8"?>
<ds:datastoreItem xmlns:ds="http://schemas.openxmlformats.org/officeDocument/2006/customXml" ds:itemID="{E9995C47-AA39-4AA8-883B-8C330DEAD707}"/>
</file>

<file path=customXml/itemProps3.xml><?xml version="1.0" encoding="utf-8"?>
<ds:datastoreItem xmlns:ds="http://schemas.openxmlformats.org/officeDocument/2006/customXml" ds:itemID="{3384300B-3E34-4985-823B-06629188B7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 Burdová</dc:creator>
  <cp:keywords/>
  <dc:description/>
  <cp:lastModifiedBy>Tomáš Zátko</cp:lastModifiedBy>
  <cp:revision/>
  <dcterms:created xsi:type="dcterms:W3CDTF">2020-05-19T22:22:48Z</dcterms:created>
  <dcterms:modified xsi:type="dcterms:W3CDTF">2023-06-08T12:01:24Z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0x01010075D25207D9CB5F47BB840BC03FE33EC0</vt:lpwstr>
  </property>
  <property fmtid="{D5CDD505-2E9C-101B-9397-08002B2CF9AE}" pid="3" name="MediaServiceImageTags">
    <vt:lpwstr/>
  </property>
</Properties>
</file>